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C:\Users\Bojan\Desktop\Aneks 2 - 2025\"/>
    </mc:Choice>
  </mc:AlternateContent>
  <xr:revisionPtr revIDLastSave="0" documentId="13_ncr:1_{591898DC-F155-4EED-8979-A2AD2808CE88}" xr6:coauthVersionLast="47" xr6:coauthVersionMax="47" xr10:uidLastSave="{00000000-0000-0000-0000-000000000000}"/>
  <bookViews>
    <workbookView xWindow="930" yWindow="930" windowWidth="27555" windowHeight="14550" tabRatio="793" xr2:uid="{00000000-000D-0000-FFFF-FFFF00000000}"/>
  </bookViews>
  <sheets>
    <sheet name="фЦС ПЛАН 2025." sheetId="6" r:id="rId1"/>
  </sheets>
  <definedNames>
    <definedName name="_xlnm._FilterDatabase" localSheetId="0" hidden="1">'фЦС ПЛАН 2025.'!$A$1:$A$515</definedName>
    <definedName name="_ftn1" localSheetId="0">'фЦС ПЛАН 2025.'!#REF!</definedName>
    <definedName name="_ftnref1" localSheetId="0">'фЦС ПЛАН 2025.'!#REF!</definedName>
    <definedName name="_xlnm.Print_Area" localSheetId="0">'фЦС ПЛАН 2025.'!$A$1:$F$518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6" l="1"/>
  <c r="E17" i="6"/>
  <c r="E285" i="6"/>
  <c r="E19" i="6"/>
  <c r="E54" i="6"/>
  <c r="E55" i="6"/>
  <c r="E57" i="6"/>
  <c r="E59" i="6"/>
  <c r="E67" i="6"/>
  <c r="E68" i="6"/>
  <c r="E69" i="6"/>
  <c r="E70" i="6"/>
  <c r="E71" i="6"/>
  <c r="E72" i="6"/>
  <c r="E77" i="6"/>
  <c r="E78" i="6"/>
  <c r="E81" i="6"/>
  <c r="E82" i="6"/>
  <c r="E83" i="6"/>
  <c r="E84" i="6"/>
  <c r="E92" i="6"/>
  <c r="E102" i="6"/>
  <c r="E103" i="6"/>
  <c r="E108" i="6"/>
  <c r="E109" i="6"/>
  <c r="E110" i="6"/>
  <c r="E113" i="6"/>
  <c r="E119" i="6"/>
  <c r="E120" i="6"/>
  <c r="E122" i="6"/>
  <c r="E127" i="6"/>
  <c r="E128" i="6"/>
  <c r="E129" i="6"/>
  <c r="E140" i="6"/>
  <c r="E146" i="6"/>
  <c r="E147" i="6"/>
  <c r="E149" i="6"/>
  <c r="E150" i="6"/>
  <c r="E155" i="6"/>
  <c r="E160" i="6"/>
  <c r="E165" i="6"/>
  <c r="E170" i="6"/>
  <c r="E175" i="6"/>
  <c r="E180" i="6"/>
  <c r="E186" i="6"/>
  <c r="E191" i="6"/>
  <c r="E196" i="6"/>
  <c r="E201" i="6"/>
  <c r="E203" i="6"/>
  <c r="E209" i="6"/>
  <c r="E210" i="6"/>
  <c r="E211" i="6"/>
  <c r="E214" i="6"/>
  <c r="E219" i="6"/>
  <c r="E286" i="6"/>
  <c r="E288" i="6"/>
  <c r="E289" i="6"/>
  <c r="E293" i="6"/>
  <c r="E294" i="6"/>
  <c r="E295" i="6"/>
  <c r="E300" i="6"/>
  <c r="E301" i="6"/>
  <c r="E302" i="6"/>
  <c r="E318" i="6"/>
  <c r="E330" i="6"/>
  <c r="E390" i="6"/>
  <c r="E391" i="6"/>
  <c r="E392" i="6"/>
  <c r="E393" i="6"/>
  <c r="E394" i="6"/>
  <c r="E422" i="6"/>
  <c r="E423" i="6"/>
  <c r="E424" i="6"/>
  <c r="E425" i="6"/>
  <c r="E519" i="6"/>
  <c r="F50" i="6"/>
  <c r="F247" i="6"/>
  <c r="F104" i="6"/>
  <c r="F258" i="6"/>
  <c r="F252" i="6"/>
  <c r="F427" i="6"/>
  <c r="F395" i="6"/>
  <c r="E463" i="6"/>
  <c r="E457" i="6"/>
  <c r="E465" i="6"/>
  <c r="E480" i="6"/>
  <c r="E470" i="6"/>
  <c r="E446" i="6"/>
  <c r="E448" i="6"/>
  <c r="E451" i="6"/>
  <c r="E478" i="6"/>
  <c r="E483" i="6"/>
  <c r="F39" i="6"/>
  <c r="D64" i="6"/>
  <c r="D66" i="6"/>
  <c r="F73" i="6"/>
  <c r="F88" i="6"/>
  <c r="F93" i="6"/>
  <c r="F98" i="6"/>
  <c r="F114" i="6"/>
  <c r="F123" i="6"/>
  <c r="F136" i="6"/>
  <c r="F142" i="6"/>
  <c r="F151" i="6"/>
  <c r="F156" i="6"/>
  <c r="F161" i="6"/>
  <c r="F166" i="6"/>
  <c r="F171" i="6"/>
  <c r="F176" i="6"/>
  <c r="F182" i="6"/>
  <c r="F187" i="6"/>
  <c r="F192" i="6"/>
  <c r="F204" i="6"/>
  <c r="F215" i="6"/>
  <c r="F221" i="6"/>
  <c r="F229" i="6"/>
  <c r="F235" i="6"/>
  <c r="F240" i="6"/>
  <c r="F263" i="6"/>
  <c r="F268" i="6"/>
  <c r="F273" i="6"/>
  <c r="F278" i="6"/>
  <c r="F290" i="6"/>
  <c r="F296" i="6"/>
  <c r="F304" i="6"/>
  <c r="F312" i="6"/>
  <c r="F320" i="6"/>
  <c r="F322" i="6"/>
  <c r="F334" i="6"/>
  <c r="F344" i="6"/>
  <c r="F355" i="6"/>
  <c r="F365" i="6"/>
  <c r="F377" i="6"/>
  <c r="F386" i="6"/>
  <c r="F403" i="6"/>
  <c r="F411" i="6"/>
  <c r="F418" i="6"/>
  <c r="F435" i="6"/>
  <c r="F438" i="6"/>
  <c r="F491" i="6"/>
  <c r="F493" i="6"/>
  <c r="F497" i="6"/>
  <c r="D497" i="6"/>
  <c r="F280" i="6"/>
  <c r="D11" i="6"/>
  <c r="E507" i="6"/>
  <c r="E504" i="6"/>
  <c r="D9" i="6"/>
  <c r="F33" i="6"/>
  <c r="D5" i="6"/>
  <c r="F60" i="6"/>
  <c r="E503" i="6"/>
  <c r="D7" i="6"/>
  <c r="E501" i="6"/>
  <c r="F223" i="6"/>
  <c r="E502" i="6"/>
  <c r="E506" i="6"/>
  <c r="D10" i="6"/>
  <c r="F440" i="6"/>
  <c r="D8" i="6"/>
  <c r="D6" i="6"/>
  <c r="D13" i="6"/>
  <c r="E8" i="6"/>
  <c r="F441" i="6"/>
  <c r="E505" i="6"/>
  <c r="E509" i="6"/>
  <c r="E5" i="6"/>
  <c r="E11" i="6"/>
  <c r="E10" i="6"/>
  <c r="E9" i="6"/>
  <c r="E7" i="6"/>
  <c r="E6" i="6"/>
  <c r="E13" i="6"/>
</calcChain>
</file>

<file path=xl/sharedStrings.xml><?xml version="1.0" encoding="utf-8"?>
<sst xmlns="http://schemas.openxmlformats.org/spreadsheetml/2006/main" count="664" uniqueCount="471">
  <si>
    <t>ТОТАЛ</t>
  </si>
  <si>
    <t>Слање филмова и осталих материјала за селекцију</t>
  </si>
  <si>
    <t xml:space="preserve">Преносиве акредитациjе </t>
  </si>
  <si>
    <t>Припадаjуће дневнице</t>
  </si>
  <si>
    <t>Смештаj</t>
  </si>
  <si>
    <t>Путно осигурање</t>
  </si>
  <si>
    <t>Дневнице</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</si>
  <si>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</si>
  <si>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Авио карте</t>
  </si>
  <si>
    <t>Чланство</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</si>
  <si>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</si>
  <si>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Годишња чланарина</t>
  </si>
  <si>
    <t>Авионске карте</t>
  </si>
  <si>
    <t>Котизациjа за радионице</t>
  </si>
  <si>
    <t>Смештај</t>
  </si>
  <si>
    <t>Дневнице за представнике ФЦС</t>
  </si>
  <si>
    <t>Слање филмова и материјала</t>
  </si>
  <si>
    <t>Превоз страних експерата у локалу</t>
  </si>
  <si>
    <t>Припрема каталога (прикупљање и обрада података и материјала за филмове)</t>
  </si>
  <si>
    <t>Превод</t>
  </si>
  <si>
    <t>Штампа</t>
  </si>
  <si>
    <t>ТОТАЛ МЕЂУНАРОДНА</t>
  </si>
  <si>
    <t>Маркет Канског филмског фестивала</t>
  </si>
  <si>
    <t>Маркет Берлинског филмског фестивала</t>
  </si>
  <si>
    <t>Сараjево филм фестивал</t>
  </si>
  <si>
    <t>Израда индекса</t>
  </si>
  <si>
    <t>Лектура/коректура</t>
  </si>
  <si>
    <t>Закуп штанда</t>
  </si>
  <si>
    <t>ТОТАЛ ИЗДАВАШТВО</t>
  </si>
  <si>
    <t>ЗАХТЕВ УСТАНОВЕ / средства из БУЏЕТА</t>
  </si>
  <si>
    <t>ОПИС</t>
  </si>
  <si>
    <t>РЕДОВНА ДЕЛАТНОСТ</t>
  </si>
  <si>
    <t>ПРОГРАМИ И ИНВЕСТИЦИЈЕ</t>
  </si>
  <si>
    <t>Зараде</t>
  </si>
  <si>
    <t xml:space="preserve">Социјални доприноси </t>
  </si>
  <si>
    <t>Допринос за пензијско и инвалидско осигурање</t>
  </si>
  <si>
    <t>Допринос за здравствено осигурање</t>
  </si>
  <si>
    <t xml:space="preserve">Социјална давања запосленима </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</si>
  <si>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</si>
  <si>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</si>
  <si>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</si>
  <si>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</si>
  <si>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</si>
  <si>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</si>
  <si>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</si>
  <si>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</si>
  <si>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</si>
  <si>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</si>
  <si>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</si>
  <si>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</si>
  <si>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</si>
  <si>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</si>
  <si>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</si>
  <si>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Остали трошкови транспорта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</si>
  <si>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</si>
  <si>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</si>
  <si>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</si>
  <si>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</si>
  <si>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</si>
  <si>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</si>
  <si>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Репрезентација</t>
  </si>
  <si>
    <t>Остале опште услуге</t>
  </si>
  <si>
    <t>Специјализоване услуге</t>
  </si>
  <si>
    <t>Услуге образовања, културе и спорта</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</si>
  <si>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</si>
  <si>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</si>
  <si>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</si>
  <si>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</si>
  <si>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</si>
  <si>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</si>
  <si>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образовање, културу и спорт</t>
  </si>
  <si>
    <t>Материјали за одржавање хигијене и угоститељство</t>
  </si>
  <si>
    <t>Порези таске и казне</t>
  </si>
  <si>
    <t>Обавезне таксе</t>
  </si>
  <si>
    <t>Машине и опрема</t>
  </si>
  <si>
    <t>КОНКУРСИ</t>
  </si>
  <si>
    <t>ИЗДАВАШТВО</t>
  </si>
  <si>
    <t>ТЕКУЋИ ТРОШКОВИ (РЕДОВНА ДЕЛАТНОСТ)</t>
  </si>
  <si>
    <t>ИНВЕСТИЦИЈЕ И ОПРЕМА</t>
  </si>
  <si>
    <t>ТОТАЛ КОНКУРСИ</t>
  </si>
  <si>
    <t xml:space="preserve">МЕЂУНАРОДНА САРАДЊА И ПРОМОЦИЈА </t>
  </si>
  <si>
    <t>Филмски центар Србије</t>
  </si>
  <si>
    <t>ТОТАЛ РЕДОВНА ДЕЛАТНОСТ И ИНВЕСТИЦИЈЕ</t>
  </si>
  <si>
    <t xml:space="preserve">ТОТАЛ ПРОГРАМИ </t>
  </si>
  <si>
    <t>Ауторска права</t>
  </si>
  <si>
    <t xml:space="preserve">ТОТАЛ ПРОГРАМИ, РЕДОВНА ДЕЛАТНОСТ И ИНВЕСТИЦИЈЕ </t>
  </si>
  <si>
    <t>РСД</t>
  </si>
  <si>
    <t>CineLink - Награда ФЦС</t>
  </si>
  <si>
    <t>Трст - When East Meets West</t>
  </si>
  <si>
    <t>Награда филмског центра Србије за најбољи пројекат у развоју</t>
  </si>
  <si>
    <t>Трошкови реализације програма - Награда младе публике</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</si>
  <si>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</si>
  <si>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Новчани износ награде добитнику</t>
  </si>
  <si>
    <t>Уметнички обликовани предмет</t>
  </si>
  <si>
    <t>REACT / партнерство и учешће продуцената из Србије</t>
  </si>
  <si>
    <t xml:space="preserve">Котизација за учешће српских продуцената </t>
  </si>
  <si>
    <t>Лекутра/коректура</t>
  </si>
  <si>
    <t>Прелом и дизајн</t>
  </si>
  <si>
    <t>Ауторски хонорар</t>
  </si>
  <si>
    <t>Фонд за подршку, подстицање и промоцију српског филма у земљи и свету</t>
  </si>
  <si>
    <t xml:space="preserve">Дневнице за представникe ФЦС </t>
  </si>
  <si>
    <t>Награда ”Небојша Поповић”</t>
  </si>
  <si>
    <t>Награда младе публике - Young Audience Award European film academy</t>
  </si>
  <si>
    <t xml:space="preserve">ИДФА - промоциjа документарних филмова </t>
  </si>
  <si>
    <t xml:space="preserve">Радионице за документарни филм  </t>
  </si>
  <si>
    <t>FNE - Film New Europe Association</t>
  </si>
  <si>
    <t>Смештај за учеснике</t>
  </si>
  <si>
    <t>Занатске радионице за неформално образовање</t>
  </si>
  <si>
    <t>Најам опреме потребне за реализацију радионице ( фар, кран, агрегат, расветна тела…)</t>
  </si>
  <si>
    <t>Павиљон, изнајмљивање простора, изградња и декорација</t>
  </si>
  <si>
    <t>Трошкови на штанду</t>
  </si>
  <si>
    <t>%</t>
  </si>
  <si>
    <t>Дневнице за представника ФЦС</t>
  </si>
  <si>
    <t>Стална активност ФЦС у промоцији српског филма је и подршка продуцентским кућама у слању промотивних материјала и DCP-јева фестивалима и филмским смотрама. За оне фестивале који немају праксу да ове трошкове покривају, ФЦС чини у интересу продуцентских кућа.</t>
  </si>
  <si>
    <t>Путни трошкови - 6 авионских карата</t>
  </si>
  <si>
    <t>Aкредитације за учеснике</t>
  </si>
  <si>
    <t>ДОМАЋА САРАДЊA</t>
  </si>
  <si>
    <t>Чланство у Европској филмској промоцији (European Film Promotion)</t>
  </si>
  <si>
    <t>МЕЂУНАРОДНА САРАДЊА</t>
  </si>
  <si>
    <t>TОТАЛ ДОМАЋА САРАДЊА</t>
  </si>
  <si>
    <t>ДОМАЋА САРАДЊА</t>
  </si>
  <si>
    <t>Дигитализација и рестаурација грађе Филмског центра Србије</t>
  </si>
  <si>
    <t>Лекутра-коректура</t>
  </si>
  <si>
    <t xml:space="preserve">Дизајн и трошкови прелома </t>
  </si>
  <si>
    <t>2.1.</t>
  </si>
  <si>
    <t>2.2.</t>
  </si>
  <si>
    <t>2.3.</t>
  </si>
  <si>
    <t>2.4.</t>
  </si>
  <si>
    <t>2.6.</t>
  </si>
  <si>
    <t>2.5.</t>
  </si>
  <si>
    <t>2.10.</t>
  </si>
  <si>
    <t>3.1.</t>
  </si>
  <si>
    <t>3.2.</t>
  </si>
  <si>
    <t>3.3.</t>
  </si>
  <si>
    <t>3.4.</t>
  </si>
  <si>
    <t>3.5.</t>
  </si>
  <si>
    <t>3.6.</t>
  </si>
  <si>
    <t>3.7.</t>
  </si>
  <si>
    <t>3.8.</t>
  </si>
  <si>
    <t>3.9.</t>
  </si>
  <si>
    <t>Материјали за саобраћај</t>
  </si>
  <si>
    <t>Капитално одржавање зграда и објеката</t>
  </si>
  <si>
    <t>Помоћ у медицинском лечењу запосленог</t>
  </si>
  <si>
    <t>Трошкови на штанду и репрезентација</t>
  </si>
  <si>
    <t>Акредитације</t>
  </si>
  <si>
    <t>Преносиве акредитације</t>
  </si>
  <si>
    <t>1.000 EUR</t>
  </si>
  <si>
    <t xml:space="preserve">Чланство </t>
  </si>
  <si>
    <t>EFAD - чланство</t>
  </si>
  <si>
    <t>ЕФАД (удружење директора европских филмских агенција) - окупљају директоре националних филмских фондова европских земаља. 35 чланица ЕФАД-а су државни ограни или институције повезане са владом, задужене за национално финансирање аудио-визуелног сектора и са одговорношћу да саветују или регулишу све аспекте аудио-визуелне политике. ФЦС је пуноправни члан ЕФАД-а од 2019. године.</t>
  </si>
  <si>
    <t>Дигитализација и архивирање штампане архивске грађе (Годишњаци, дописи и сл.)</t>
  </si>
  <si>
    <t>Рестаурација и дигитализација филмски свезака</t>
  </si>
  <si>
    <t xml:space="preserve">Трошкови организације </t>
  </si>
  <si>
    <t xml:space="preserve">ТОТАЛ </t>
  </si>
  <si>
    <t>Награда ”Марко Глушац”</t>
  </si>
  <si>
    <t>3.10.</t>
  </si>
  <si>
    <t xml:space="preserve"> BPX</t>
  </si>
  <si>
    <t>Суфинансирање дистрибуције домаћих филмова у Србији</t>
  </si>
  <si>
    <t>Дизајн каталога, огласа, позивница и постера</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</si>
  <si>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проjекте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</si>
  <si>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Фонд за подршку</t>
  </si>
  <si>
    <t>Регионална и прекогранична сарадња са другим десковима</t>
  </si>
  <si>
    <t xml:space="preserve">Организација промотивног догађаја </t>
  </si>
  <si>
    <t>Едукативни догађаји</t>
  </si>
  <si>
    <t xml:space="preserve">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 </t>
  </si>
  <si>
    <t>Лектура и коректура</t>
  </si>
  <si>
    <t>Промотивни материјал (торбе, свеске, оловке, цегери)</t>
  </si>
  <si>
    <t>Брошуре MEDIA деска</t>
  </si>
  <si>
    <t>Смештај за представнике ФЦС</t>
  </si>
  <si>
    <t>700 EUR</t>
  </si>
  <si>
    <t>400 EUR</t>
  </si>
  <si>
    <t>1.000 EUR.</t>
  </si>
  <si>
    <t>BPX - Best Praktice Exchange основан jе 2012. године, како би се охрабрила размена и сарадња између филмских фондова. Два пута годишње организуjу се (у Берлину и Кану) састанци представника фондова како би разменили идеjе и искуства. У 2022. години организован је састанак током Канског филмског фестивала на коме представљене најбоље праксе филмских фондова у новом, дигиталном окружењу.</t>
  </si>
  <si>
    <t>5.1.</t>
  </si>
  <si>
    <t>5.2.</t>
  </si>
  <si>
    <t>5.3.</t>
  </si>
  <si>
    <t>5.4.</t>
  </si>
  <si>
    <t>5.7.</t>
  </si>
  <si>
    <t>Франуско-српски сусрети на Фестивалу ауторског филма</t>
  </si>
  <si>
    <t>10.000 EUR</t>
  </si>
  <si>
    <t>Путни трошкови за 3 представника ФЦС</t>
  </si>
  <si>
    <t>40.000 RSD x 3 особе</t>
  </si>
  <si>
    <t>ТОТАЛ  MEDIA ДЕСК СРБИЈА</t>
  </si>
  <si>
    <t>MEDIA ДЕСК СРБИЈА</t>
  </si>
  <si>
    <t>Израда индеска</t>
  </si>
  <si>
    <t>250.000 РСД</t>
  </si>
  <si>
    <t>Хонорари за ангажоване продавце</t>
  </si>
  <si>
    <t>Тираж:  300</t>
  </si>
  <si>
    <t>Плате, додаци и накнаде запослених</t>
  </si>
  <si>
    <t>MEDIA</t>
  </si>
  <si>
    <t>8.000 EUR</t>
  </si>
  <si>
    <t xml:space="preserve">5.5. </t>
  </si>
  <si>
    <t xml:space="preserve">5.6. </t>
  </si>
  <si>
    <t>5.9.</t>
  </si>
  <si>
    <t>30.000 RSD x 3 особе</t>
  </si>
  <si>
    <t>Зграде и грађевински објекти</t>
  </si>
  <si>
    <t>Опрема за саобраћај</t>
  </si>
  <si>
    <t>Опрема за образовање, науку, културу и спорт</t>
  </si>
  <si>
    <t xml:space="preserve">Мрежа киноприказивача </t>
  </si>
  <si>
    <t>15 EUR x 3 дана  x 3 особe</t>
  </si>
  <si>
    <t>Авио карте (Загреб, Љубљана, Трст - 2 авио карате)</t>
  </si>
  <si>
    <t>5.8.</t>
  </si>
  <si>
    <t xml:space="preserve">Организација догађаја </t>
  </si>
  <si>
    <t xml:space="preserve">Мрежни догађаји, награде и остале услуге из области културе </t>
  </si>
  <si>
    <t>100 x 2 особе х 3 дана</t>
  </si>
  <si>
    <t>30.000 RSD x 2 члана ФЦС</t>
  </si>
  <si>
    <t>Организација догађаја</t>
  </si>
  <si>
    <t>3.000 EUR</t>
  </si>
  <si>
    <t>Штанд и најам опреме за штанд</t>
  </si>
  <si>
    <t>70.000 RSD * 6 особа</t>
  </si>
  <si>
    <t>15 EUR * 6 особa  * 8 дана</t>
  </si>
  <si>
    <t>15.000 EUR</t>
  </si>
  <si>
    <t>500 EUR</t>
  </si>
  <si>
    <t>60.000 RSD</t>
  </si>
  <si>
    <t>300.000 RSD</t>
  </si>
  <si>
    <t>15 EUR х 8 дана x 8 особa</t>
  </si>
  <si>
    <t>Путни трошкови - 8 авионских карата</t>
  </si>
  <si>
    <t>80.000 RSD x 8 особа</t>
  </si>
  <si>
    <t>17.000 RSD  x 6 особа</t>
  </si>
  <si>
    <t>2.000.000 RSD</t>
  </si>
  <si>
    <t>ReActing as a Star</t>
  </si>
  <si>
    <t>Партнерство</t>
  </si>
  <si>
    <t>Дани српског филма у Пули, у сарадњи са Српским културним центром</t>
  </si>
  <si>
    <t>15 EUR х 4 дана х 3 особе</t>
  </si>
  <si>
    <t>1.000.000 РСД</t>
  </si>
  <si>
    <t>500 ЕUR x 5 особе</t>
  </si>
  <si>
    <t>250 EUR x 5 особа x 3 ноћења</t>
  </si>
  <si>
    <t>15 EUR x 2 особе x 4 дана</t>
  </si>
  <si>
    <t>SERBIAN WORKS IN PROGRESS</t>
  </si>
  <si>
    <t>Serbian works in progress jе платформа за међународну промоциjу домаћих филмова.
Идеjа jе да се сваке године угосте у Србиjи селектори великих светских фестивала (Кан, Венециjа, Берлин, Локарно, Ротердам, Санденс, Сан Себастиjан, Карлови Вари и др.). Они би се том приликом упознали са новим српским филмовима, коjи су у завршноj фази реализациjе. Циљ ове активности jе повећање видљивости и присуства српског филма на међународним фестивалима. Броj филмова коjи би гости гледали зависио би од продукциjе те године. У зависности од броjа, и фазе у коjоj се филмови налазе, пуштали би се цели филмови или првих 20-так минута, уколико нису jош завршени али су у одмаклоj фази пост-продукциjе. Програм би укључивао и дугометражне игране и документарне филмове. Поред проjекциjа, за госте би биле организоване и друге активности коjе укључуjу интеракциjу са домаћом индустриjом (панел дискусиjе и неформална "дружења" у виду коктела / вечера) али и обилазак Београда или других знаменитости. Веома jе важно да гости боље упознаjу контекст у ком наши филмови настаjу и људе коjи их производе.</t>
  </si>
  <si>
    <t>10 гостију х 500 EUR</t>
  </si>
  <si>
    <t>Хотелски смештај</t>
  </si>
  <si>
    <t>10 гостију х 3 ноћења х 130  EUR</t>
  </si>
  <si>
    <t>Трансфери од / до аеродрома</t>
  </si>
  <si>
    <t>400  EUR</t>
  </si>
  <si>
    <t xml:space="preserve">Оброци </t>
  </si>
  <si>
    <t>10 гостију х 4 дана х 2 оброка х 30  EUR</t>
  </si>
  <si>
    <t xml:space="preserve">Коктел добродошлице </t>
  </si>
  <si>
    <t>1.000  EUR</t>
  </si>
  <si>
    <t xml:space="preserve">Координатор пројекта </t>
  </si>
  <si>
    <t>2.000  EUR</t>
  </si>
  <si>
    <t xml:space="preserve">Асистент координатора пројекта </t>
  </si>
  <si>
    <t>500  EUR</t>
  </si>
  <si>
    <t>5.000 EUR</t>
  </si>
  <si>
    <t>40.000 EUR</t>
  </si>
  <si>
    <t>40.000 RSD х 2 особе</t>
  </si>
  <si>
    <t>Авио карта за представника ФЦС</t>
  </si>
  <si>
    <t>50.000 RSD</t>
  </si>
  <si>
    <t>Смештај за представника ФЦС</t>
  </si>
  <si>
    <t>800 EUR</t>
  </si>
  <si>
    <t>125 EUR x 2 дана</t>
  </si>
  <si>
    <t>15 ЕUR x 2 дана</t>
  </si>
  <si>
    <t>Хонорари</t>
  </si>
  <si>
    <t xml:space="preserve">Организација 3 догађаји у сарадњи са регионалним МЕДИА Деск-овима </t>
  </si>
  <si>
    <t xml:space="preserve">Дневнице (2 особа x 3 дана x 3 догађаја ) </t>
  </si>
  <si>
    <t>Хотелски смештај  (2 особа x 2 ноћења х 3 догађаја)</t>
  </si>
  <si>
    <t>12.000 RSD х 2 особе  х 2 ноћења x 3 путовања</t>
  </si>
  <si>
    <t>Организација семинара и радионице о имплементацији зелене агенде у аудио визуелном сектору. Представљање примера  добре праксе у Европи и у Србији. Мастерклас  и тренинг о визуелним ефектима у индустрији видео игара у сарадњи са факултетима који у курикулуму имају смерове развоја и  дизајна видео игара</t>
  </si>
  <si>
    <t>Путни трошкови предавача и учесника програма</t>
  </si>
  <si>
    <t>2 авио карте 45.000 RSD  х превоз у земљи 2 х комбијем 10 особа</t>
  </si>
  <si>
    <t>Хотелски смештај за предаваче семинара (3 особе х 3 ноћења)</t>
  </si>
  <si>
    <t>10.000 RSD  x 3  ноћења х 3 особе</t>
  </si>
  <si>
    <t>Хонорари предавача</t>
  </si>
  <si>
    <t>Пријем - мрежни догађаји Медиа деска</t>
  </si>
  <si>
    <t>120.000 RSD</t>
  </si>
  <si>
    <t xml:space="preserve">Дизајн </t>
  </si>
  <si>
    <t xml:space="preserve">Штампа </t>
  </si>
  <si>
    <t>Промоција и представљање MEDIA деска</t>
  </si>
  <si>
    <t xml:space="preserve">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 </t>
  </si>
  <si>
    <t>200.000 RSD</t>
  </si>
  <si>
    <t>Рекламирање у каталозима филмских фестивала, платформама</t>
  </si>
  <si>
    <t>60.000. RSD</t>
  </si>
  <si>
    <t xml:space="preserve">3 промотивна догађаја на домаћим фестивалима и састанцима тет-а-тет </t>
  </si>
  <si>
    <t>Кампања повећања видљивости програма Креативна Европа (интервјуи, видео клип)</t>
  </si>
  <si>
    <t>40.000 RSD</t>
  </si>
  <si>
    <t>30.000 RSD</t>
  </si>
  <si>
    <t>Филмски центар Србиjе  и струковно удружење документариста, ДокСрбиjа организуjу два пута годишње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</si>
  <si>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Одржавање радионица за преквалификацију и дошколовавање дефицитарних кадрова у кинематографији</t>
  </si>
  <si>
    <t xml:space="preserve">Израда плана и програма три недеље радионица за занимање по секторима и предавачи </t>
  </si>
  <si>
    <t xml:space="preserve">Филмски центар Србије има за циљ да очува и заштити неке од најпознатијих наслова домаће кинематографије и да их учини видљивијим широј публици у одговарајућем квалитету. 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 </t>
  </si>
  <si>
    <t xml:space="preserve">”Марко Глушац” наградa се додељује најперспективнијем млађем монтажеру дугих и кратких, играних и документарних форми.
То признање већ осму годину за редом додељује Фондација "Марко Глушац", коју су основали редитељи, продуценти, монтажери и пријатељи, људи који су сарађивали са Марком, једним од наших највећих филмских монтажера. </t>
  </si>
  <si>
    <t xml:space="preserve">Подршка организацији </t>
  </si>
  <si>
    <t>Сала српског филма</t>
  </si>
  <si>
    <t>Пројекат Интеракција подразумева одржавање студентског филмског кампа, фестивал кратког документарног филма, радионице за документарни филм и програма Meet2talk. Овај програм  је намењен студентима филмских академија и подразумева продукцију кратких документрних филмова. Програм се реализује од 2006. године у циљу промовисања кратког документарног филма међу младима – студентима филмских академија, као и подстицања њиховог умрежавања и размене знања и искуства кроз рад у мултинационалним екипама.</t>
  </si>
  <si>
    <t xml:space="preserve">Суфинансирање производње домаћих дугометражних играних филмова </t>
  </si>
  <si>
    <t>Суфинансирање производње домаћих дугометражних дебитантских играних филмова- први и други филм редитеља</t>
  </si>
  <si>
    <t>Финансирање унапређења и развоја филмских сценариjа</t>
  </si>
  <si>
    <t>Суфинансирање развоја пројеката домаћих дугометражних играних и документарних филмова</t>
  </si>
  <si>
    <t>Суфинансирање производње домаћих краткометражних играних филмова</t>
  </si>
  <si>
    <t>Суфинансирање производње домаћих краткометражних анимираних филмова</t>
  </si>
  <si>
    <t>Суфинансирање производње домаћих експерименталних филмова и видео арта</t>
  </si>
  <si>
    <t>Суфинансирање производње мањинских копродукција</t>
  </si>
  <si>
    <t>Суфинансирање производње студентских завршних филмова</t>
  </si>
  <si>
    <t>Администрирање конкурса (конкурсне комисије, 
комисија за правдање средстава, супервизор продукције документарних филмова, супервизор 
продукције играних филмова, оглашавање текста конкурса у дневној штампи, правне услуге)</t>
  </si>
  <si>
    <t>MEDIA Деск Србија</t>
  </si>
  <si>
    <t>Тираж: 300 страна</t>
  </si>
  <si>
    <t>Тираж: 300</t>
  </si>
  <si>
    <t>Скенирање материјала</t>
  </si>
  <si>
    <t xml:space="preserve">Тираж: 300 </t>
  </si>
  <si>
    <t>в.д директора Филмског центра Србиjе</t>
  </si>
  <si>
    <t>I део трошкова за Маркет 2026, септембар 2025.</t>
  </si>
  <si>
    <t>II део трошкова за Маркет  2025, јануар 2025.</t>
  </si>
  <si>
    <t>17.000 EUR</t>
  </si>
  <si>
    <t>Промотивни материјали на штанду (торбе, УСБ картице, агенде, оловке...)</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</si>
  <si>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2024.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</si>
  <si>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2.8.</t>
  </si>
  <si>
    <t>2.7.</t>
  </si>
  <si>
    <t>2.9.</t>
  </si>
  <si>
    <t>2.11.</t>
  </si>
  <si>
    <t>Путни трошкови (2 представника ФЦС и представник документариста  + продуцент + полазник академије)</t>
  </si>
  <si>
    <t>50.000 RSD x 5 особа</t>
  </si>
  <si>
    <t>2.12.</t>
  </si>
  <si>
    <t>2.13.</t>
  </si>
  <si>
    <t>Producers on the Move, април-мај 2024.</t>
  </si>
  <si>
    <t>2.16.</t>
  </si>
  <si>
    <t>2.14.</t>
  </si>
  <si>
    <t>2.15.</t>
  </si>
  <si>
    <t>2.17.</t>
  </si>
  <si>
    <t>Награда ФЦС</t>
  </si>
  <si>
    <t>2.18.</t>
  </si>
  <si>
    <t>1.900 EUR</t>
  </si>
  <si>
    <t>2.19.</t>
  </si>
  <si>
    <t>Партнерство (други део)</t>
  </si>
  <si>
    <t>23.500 EUR</t>
  </si>
  <si>
    <t xml:space="preserve">Учешће у трошковима партнерства са ДокСрбијом - први део трошкова (за прву летњу радионицу) 620.000 а други (за јесењу) 500.000 </t>
  </si>
  <si>
    <t>2.20.</t>
  </si>
  <si>
    <t>45.000 EUR</t>
  </si>
  <si>
    <t>EAVE радионица 2026. - први део партнерских трошкова</t>
  </si>
  <si>
    <t>Торино филм лаб радионица 2025. - други део партнерских трошкова</t>
  </si>
  <si>
    <t>2.21.</t>
  </si>
  <si>
    <t>Producers LINK</t>
  </si>
  <si>
    <t>Producers LINK јер посебан програм осмишљен за продуценте садржаја за младу публику. Одвија се у два модула током јесени 2024, у Амстердаму и Варшави. Програм је намењен младим, талентованим продуцентима који су заинтересовани за продукцију садржаја за младу публику и продуценте који имају пројекат за младу публику у развоју или у фази продукције. Партнерством са организаторима програма (Young Horizons Industry &amp; Cinekid for Professionals), Филмски центар обезбеђује учешће једног талентованог продуцента из Србије који ће добити прилику да учествује у овом јединственом програму.</t>
  </si>
  <si>
    <t>Slano Film Days  (стручне радионице и мајсторски курсеви)</t>
  </si>
  <si>
    <t>Награда ФЦС - Cottbus Film Festival &amp; Connecting Cottbus coproduction market</t>
  </si>
  <si>
    <t>Партнерство (први део)</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</si>
  <si>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2025. треба платити заостале обавезе за организациjу учешћа на Маркету 2025, а током септембра 2025. треба платити обавезе за организациjу учешћа на Маркету 2026.</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</si>
  <si>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Locarno,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Sofia Meetings, Toronto Producers Lab, AGORA Meetings Thessaloniki, Les Arcs, Leipzig Dok Copro market, CPH:LAB, IDFA, Lorcarno Step in, EX Oriente, Sundance Scriptwriters Lab, EURODOC, ACE, Erich Prommer Institute courses, Circle, FILM TEEP (Film Training for East European Professionals), EP2C, Cartoon 360, EFA Master Class.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</si>
  <si>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Авионске карте (остали)</t>
  </si>
  <si>
    <t>Авио превоз 2 представника ФЦС-а</t>
  </si>
  <si>
    <r>
      <t>На иницијативу Словеначког филмског центра основан је нови међународни програм  “ReActing as a Star” посвећен подстицању умрежавању филмских и аудиовизуелних глумаца у региону и повећање њиховог присуства у еврпској филмској индустрији. Прво издање овог програма одржано у оквиру другог издања Krafft Actors Film у оквиру другог издања Фестивала у Крању (Словенија). Како би повећао видљивост глумаца из региона и проширо могућност њиховог учешћа у међународној филмској индустрији, Словеначки филмски центар, у сарадњи са Сарајево филм фестивалом, Међународном мрежом  Casting Directors Network (ICDN) и партнерским филским центрима из Србије, Хрватске, Северне Македоније и Црне и Горе, успоставио је професионалну платформуу којој су учествовали глумци из региона.</t>
    </r>
    <r>
      <rPr>
        <sz val="12"/>
        <color rgb="FFFF0000"/>
        <rFont val="Arial Narrow"/>
        <family val="2"/>
      </rPr>
      <t xml:space="preserve"> </t>
    </r>
    <r>
      <rPr>
        <sz val="12"/>
        <color theme="1"/>
        <rFont val="Arial Narrow"/>
        <family val="2"/>
      </rPr>
      <t>Током тродневне радионице глумци раде на развијању својих вештина и успостављању контакта са casting директорима, као и на размени искустава са колегама из региона.</t>
    </r>
  </si>
  <si>
    <t xml:space="preserve"> У оквиру Фестивала ауторског филма, планирани су Француско-српски филмски сусрети, у организациjи Филмског центра Србиjе, Француског института, MCF MegaCom Филма и Удружења за промоциjу независног филма ACID уз подршку Министарства културе Републике Србиjе. Француско-српски филмски сусрети представљју манифестацију од значаја за унапређење међународне сарадње у области кинематографије и повећање броја билатералних копродукција између Републике Србије и Републике Француске, као и умрежавање са домаћим ауторима. Програм сусрета jе заснован на панелима, мастеркласовима и стручним састанцима на тему филмске индустриjе. Током наредног издања велики део програма биће намењен студентима и младим филмским професионалцима у виду броjних мастеркласова о различитим филмским занимањима.</t>
  </si>
  <si>
    <t>Као и сваке године, једно од стратешки важних тачака за промоцију српског филма је Сарајево филм фестивал. Филмови из Србије су у више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спонзорише награду за најбољи пројекат на CineLinku.</t>
  </si>
  <si>
    <t>90 EUR x 4 дана x 3 особе</t>
  </si>
  <si>
    <t>15 EUR x 4 дана x 3 особа</t>
  </si>
  <si>
    <t>Наведени програм је годишња манифестациjа, већ етаблирана коју ФЦС годинама организује у сарадњи са Српским културним центром у Пули.</t>
  </si>
  <si>
    <t>У оквиру ИДФА - Међународног фестивала документарног филма у Амстердаму,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 Традиционално део делегације чини и председник Удружења документариста Србије (DOKSrbija).</t>
  </si>
  <si>
    <t xml:space="preserve">Израда и штампа материјала </t>
  </si>
  <si>
    <t>REACT је заједничка развојна иницијатива (Италија, Словенија, Хрватска) коју је 2015. године покренуо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 До сада је осам српских филмова добило подршку за развој.</t>
  </si>
  <si>
    <t>600 EUR</t>
  </si>
  <si>
    <t>Као резултат дугогодишње и успешне сарадње са филмски фестивалом и копродукционим маркетом у Котбусу, покренута је иницијатива да Филмски центар Србије буде покровитељ Награде публике за најбољи пројекат играног филма, коју публика додељује на основу logline-a, у оквиру посебног програма Pickastory. Осим новчаног дела награде у износу од 1.000 ЕУР, победник добија и стручне повратне информације и савете о писању и продукцији сценарија, као и прилику да то представи на наредном копродукционом маркету ”Connecting Cottbus”.</t>
  </si>
  <si>
    <t>Торино филм лаб представља међународне стручне радионице које пружају јединствену прилику за подстицање и подршку креативности међу новим талентима. Филмски центар Србиjе планира да у партнерству са Торино филм лабом, током априла 2025. године, организује у Србији  једну од три годишње сесије ScriptLab радионице за развој сценарија. Партнерством са Торино филм лабом, Србији је гарантовано учешће најмање једног продуцента из Србије на све три ScriptLab сесије. Осим тога, у оквиру партнерства Торино филм лаб ће организовати посебну радионицу намењену развоју до пет српских играних филмских пројеката у фази тритмента, која ће се одржати паралелно са сесијом ScriptLab радионице и пружити прилику за умрежавање са учесницима ScriptLab-а. Саглано уговору сачињеном између организатора Торино филм лаб-а и Филмског центра Србије, партнерски допринос од 40.000 ЕУР биће исплаћен у две рате. Прва рата у износу од 16.500 ЕУР током јесени 2024. и друга рата износу од 23.500 ЕУР након одржане радионице у априлу 2025. године.</t>
  </si>
  <si>
    <t>EAVE jе водећа међународна организациjа за стручно усавршавање, развоj проjеката и умрежавање продуцената. Филмски центар Србиjе планира да у партнерству са EAVE организуjе тзв. ’’трећу’’ EAVE радионицу у Србији, током две недеље октобра / новембра 2026. године. Поред српских продуцената коjи похађаjу све три радионице током године и оних продуцената коjи су током година постали део EAVE мреже, бенефити за филмску индустриjу и продуценте из Србиjе су вишеструки. Паралелно са главном радионицом у Србији, EAVE ће организовати и посебну радионицу прилагођену локалним продуцентима. У оквиру овог дела програма, све сесиjе ће бити отворене за све локалне продуценте. Досадашње искуство из 2006. и 2019. је показало да је интересовање домаћих продуцената за ове садржаје велико. Треба имати у виду и да ће у Србији боравити око 100 продуцената из више од 30 земаља, око 60 агената продаје, представника филмских фондова и дистрибутера, као и тим EAVE стурчњака коjи ће имати прилику да се сретну са локалним продуцентима и упознаjу са локалном филмском индустриjом и локациjама. У оквиру радионице биће организовано и директно представљање домаћих продуцената, продукцијских капацитета, иницијатива и релевантних институција. Филмски центар Србиjе би на себе преузео део трошкова и организације овог догађаја. Партнерски трошкови би били исплаћени у два дела - први током 2025. године, а други до краја 2026.</t>
  </si>
  <si>
    <t>Радионица ”Нови балкански глас” / ”New Balkan Voices”</t>
  </si>
  <si>
    <t>Радионица за развој сценарија (играних и документарних филмова) Филмског центра Србије и МЕДИА деска Србије, у сарадњи са МЕДИА десковима Хрватске, Словеније и Бугарске, као и Хрватским аудиовизуалним центром и Бугарским националним филмским центром. У 2025. радила би се пилот верзија пројекта са мањим бројем учесника са идејом да се касније прошири. Филмски центри и дескови из региона расписивали би позив за пројекте, а тутори би бирали пројекте са којима би радили у континуитету 6 месеци онлине. Последња фаза пројекта подразумева долазак тутора и представника пројеката у Србију, како би представили завршни рад на развоју сценарија. Идеја је да се оствари пун потенцијал прича како би аутори пронашли свој „нови глас“ и како би се ти пројекти касније у промоцији представили као пресек најзанимљивијих нових аутора из региона.</t>
  </si>
  <si>
    <t>Оброци</t>
  </si>
  <si>
    <t xml:space="preserve">Рентирање сале </t>
  </si>
  <si>
    <t>Трансфери до и од аеродрома за учеснике и туторе</t>
  </si>
  <si>
    <t>Хонорар тутора</t>
  </si>
  <si>
    <t>Смештај за представнике ФЦС и једног тутора</t>
  </si>
  <si>
    <t xml:space="preserve">Авио карта за тутора </t>
  </si>
  <si>
    <t>Награда ФЦС за најбољи пројекат</t>
  </si>
  <si>
    <t xml:space="preserve"> 2 особе x 4 ноћења  x 130 EUR</t>
  </si>
  <si>
    <t>180.000 RSD</t>
  </si>
  <si>
    <t>15 особа х 2.500 RSD х 2 оброка х 5 дана</t>
  </si>
  <si>
    <t>1.500 EUR</t>
  </si>
  <si>
    <t>2.22.</t>
  </si>
  <si>
    <t>2.23.</t>
  </si>
  <si>
    <t>Хонорар локалног координатора</t>
  </si>
  <si>
    <t>70.000 RSD</t>
  </si>
  <si>
    <t xml:space="preserve">Sheffield DOCFest </t>
  </si>
  <si>
    <t xml:space="preserve">У оквиру Sheffield DocFesta - Међународног фестивала документарног филма у Шефилду, коjи jе jедан од важнијих фестивала документарног филма на свету са најутицајнијим маркетом за документарне пројекте. Креаторима и публици се нуди место за инспирацију, дебату, развој, учење и изазов. Филмски центар Србије планира представљање документарних пројеката из Србије у сарадњи са Филмским центром Црне Горе и Филмским центром Грчке. Фестивал нуди центрима промоцију филмова и пројеката из земље који ће се представоти на специјаним пројекцијама, разговорима. Биће организовани и мрежни догађаји и промоције на маркету.
</t>
  </si>
  <si>
    <t>Пакет акредитација за учеснике</t>
  </si>
  <si>
    <t>3.000 фунти</t>
  </si>
  <si>
    <t>70.000 RSD x 5 особа</t>
  </si>
  <si>
    <t>Визе за учеснике</t>
  </si>
  <si>
    <t>150 EUR x 5 особа</t>
  </si>
  <si>
    <t>2.500 ЕUR</t>
  </si>
  <si>
    <t xml:space="preserve">10.000 EUR </t>
  </si>
  <si>
    <t>40.000 RSD.</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</si>
  <si>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у новембру 2025. </t>
  </si>
  <si>
    <t>Интеракција 2025</t>
  </si>
  <si>
    <t>180.000 RSD.</t>
  </si>
  <si>
    <t>108.100РСД х 7 месеци</t>
  </si>
  <si>
    <t>Хонорар асистента на пројекту Медиа Деска</t>
  </si>
  <si>
    <t>80000 РСД х 1 месец</t>
  </si>
  <si>
    <t>Дизајн визуалних материјала за потребе промоције</t>
  </si>
  <si>
    <t>Хонорар преводиоца за портал Медиа Деска</t>
  </si>
  <si>
    <t>Хонорар администратора портала Медиа Деска</t>
  </si>
  <si>
    <t>Хонорар програмера унапређење нови модули - секција Медиа Деска</t>
  </si>
  <si>
    <t>3250 RSD х 3 дана х 2 особа х 3 путовања</t>
  </si>
  <si>
    <t>50.000 RSD x 3 промотивна догађаја</t>
  </si>
  <si>
    <t>45.000 RSD x 3 промотивна догађаја</t>
  </si>
  <si>
    <t>40.000 RSD х 6 особе</t>
  </si>
  <si>
    <t>КОНКУРСИ - План и програм  2025.</t>
  </si>
  <si>
    <t>ПРИКАЗ ПЛАНИРАНИХ РАСХОДА ФЦС У 2025.</t>
  </si>
  <si>
    <t>Суфинансирање производње домаћих дугометражних анимираних филмова</t>
  </si>
  <si>
    <t>Суфинансирање производње домаћих документарних филмова</t>
  </si>
  <si>
    <t>6.000.000 РСД</t>
  </si>
  <si>
    <t xml:space="preserve">Подршка домаћим филмским фестивалима и "industry" сектору </t>
  </si>
  <si>
    <t>30.400РСД x 2 месецa</t>
  </si>
  <si>
    <t>40.000 РСД x 12 месецa</t>
  </si>
  <si>
    <t>30.000 РСД x 6 месецa</t>
  </si>
  <si>
    <t xml:space="preserve">ИЗДАВАШТВО - план и програм 2025. </t>
  </si>
  <si>
    <t>Регионални фонд за подршку женама редитељкама</t>
  </si>
  <si>
    <t xml:space="preserve">С обзиром на све већи број домаћих фестивала, а са циљем промоције домаћег филма и усавршавања филмских радника, Филмски центар Србије опредељује подршку домаћим филмским фестивалима за потребе организације, одржавање стручних радионица и предавања, доделу награда, доласка предавача и гостију фестивала. Имајући у виду да је у данашње време такозвани "industry" сектор неодвојиви део сваког важнијег филмског фестивала, идеја је да се  развој овог сектора подржи како у оперативном, тако и у финансијском смислу.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Постојање квалитеног "industry" сектора,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</si>
  <si>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</si>
  <si>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</si>
  <si>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Tрошкови промоције номинованог филма</t>
  </si>
  <si>
    <t>Надокнаде за 7 чланова жирија</t>
  </si>
  <si>
    <t>2.24.</t>
  </si>
  <si>
    <t>Циљ MEDIA деска јесте да пружи подршку представницима аудиовизуелног, медијског и културног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MEDIA деск пружа подршку и организацијама из културе и области информисања на позивима које расписује Креативна Европа у Кроссекторском потпрограму (иновативне лабараторије, медијска писменост, медијска партнерства и др.)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2025.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 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2025.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t>
  </si>
  <si>
    <t>Трошкови реализације обуке за кинооператере и развијање базе гледаности домаћих филмова</t>
  </si>
  <si>
    <t>Годишњи програм промоције филмова добитника на конкурсима Филмског центра Србије у биоскопској сали - Сали српског филма. Несметани приступ и коришћење простора и све технике сала за потребе програма Филмског центра Србије.</t>
  </si>
  <si>
    <t>Трошкови организације - закуп дворана и осталих просторија у МТС дворани за потребе Сале Филмског центра Србије</t>
  </si>
  <si>
    <t>3000ЕУР</t>
  </si>
  <si>
    <t>800ЕУР</t>
  </si>
  <si>
    <t>2000ЕУР</t>
  </si>
  <si>
    <t>500ЕУР</t>
  </si>
  <si>
    <t>3500ЕУР</t>
  </si>
  <si>
    <t>Скенирање  материјала</t>
  </si>
  <si>
    <t>2500ЕУР</t>
  </si>
  <si>
    <t>900ЕУР</t>
  </si>
  <si>
    <t>600ЕУР</t>
  </si>
  <si>
    <t>МАРКО ДЕМИЋ: КРАКОВ И ФИЛМ</t>
  </si>
  <si>
    <t xml:space="preserve">МИЛОШ ЧОЛИЋ: ТЕКСТОВИ О ФИЛМУ </t>
  </si>
  <si>
    <t>1000ЕУР</t>
  </si>
  <si>
    <t>НЕНАД ЈОВАНОВИЋ: БРЕХТИЈАНСКИ ФИЛМ</t>
  </si>
  <si>
    <t>Хонорар преводиоца</t>
  </si>
  <si>
    <t>2800ЕУР</t>
  </si>
  <si>
    <t>1200ЕУР</t>
  </si>
  <si>
    <t>1500ЕУР</t>
  </si>
  <si>
    <t>3600ЕУР</t>
  </si>
  <si>
    <t>СТЕФАН АРСЕНИЈЕВИЋ, СРЂАН КАРАНОВИЋ: МАЛО ИЗНАД ТЛА - друго, проширено издање</t>
  </si>
  <si>
    <t>1800ЕУР</t>
  </si>
  <si>
    <t>700ЕУР</t>
  </si>
  <si>
    <t>НИКОЛА ЛОРЕНЦИН: ЗАПИСИ ВЛАДЕ ПЕТРИЋА - у сарадњи са УФУС АФА ЗАШТИТОМ</t>
  </si>
  <si>
    <t>Лекутра и дизајн</t>
  </si>
  <si>
    <t>БЕОГРАДСКИ МЕЂУНАРОДНИ САЈАМ КЊИГА 2025.</t>
  </si>
  <si>
    <t>Технички додаци уз штанд и акредитације</t>
  </si>
  <si>
    <t>Огласи у новинама и на порталима</t>
  </si>
  <si>
    <t xml:space="preserve">Трошкови слања књига (транспорт књига до Сајма и натраг) </t>
  </si>
  <si>
    <t>Фонд за помоћ другим издавачима</t>
  </si>
  <si>
    <t>2.000.000РСД</t>
  </si>
  <si>
    <t>Подршка (Филмски центар Србије ко-издавач)</t>
  </si>
  <si>
    <t>5.10.</t>
  </si>
  <si>
    <t>5.11.</t>
  </si>
  <si>
    <t>5.12.</t>
  </si>
  <si>
    <t xml:space="preserve">Тираж: 500 </t>
  </si>
  <si>
    <t>САВАШ АРСЛАН: САВРЕМЕНИ ТУРСКИ ФИЛМ</t>
  </si>
  <si>
    <t xml:space="preserve">Тираж: 200 </t>
  </si>
  <si>
    <t>MICHAL TALAREK: CLINT EASTWOOD A LIFE ON BOTH SIDES OF THE CAMERA</t>
  </si>
  <si>
    <t>5.13.</t>
  </si>
  <si>
    <t>Тираж:  200</t>
  </si>
  <si>
    <t>Стимулациjе (учествовања домаћих филмова на иностраним фестивалима, биоскопског приказивања домаћих филмова, гледаности домаћих филмова и дистрибуције домаћих филмова</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</si>
  <si>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2025. ФЦС жели да учествује у даљем ширењу независне биоскопске мреже и професионалном усавршавању  кинооператера у независној биоскопској мрежи, што је логичан наставак дигитализацији биоскопа широм Србије.</t>
  </si>
  <si>
    <t>120.000 RSD.</t>
  </si>
  <si>
    <t>Рестаурација и дигитализација српских играних филмова - израда мастер копија (DCP - 4K )</t>
  </si>
  <si>
    <r>
      <t>Slano Film Days организуjе редитељске, глумачке и сниматељске маjсторске курсеве, специjална предавања и практичне радионице за посебно одабране младе филмске професионалце из региjе. Учесници се бираjу на основу досадашњег радног искуства и показаног талента, а имаjу могућност да учествуjу на квалитетним курсевима и радионицама коjе посебно за</t>
    </r>
    <r>
      <rPr>
        <sz val="12"/>
        <rFont val="Arial Narrow"/>
        <family val="2"/>
      </rPr>
      <t xml:space="preserve"> њих држе светски филмски професионалци и вишеструки добитници филмских награда, попут Оскара и Златне палме (гостуjући предавачи у 2024. години били су и редитељи Алфонсо Куарон, Рубен Естлунд, Мишел Франко, Павел Павликовски</t>
    </r>
    <r>
      <rPr>
        <sz val="12"/>
        <color theme="1"/>
        <rFont val="Arial Narrow"/>
        <family val="2"/>
      </rPr>
      <t>). Партнерство Филмског центра Србиjе са Фестивалом Понта Лопуд, пружа талентима из Србиjе jединствену прилику за стицање нових знања, развоj успешних кариjера као и за стварање дугорочних професионалних  и приjатељских односа, нарочито имаjући у виду да jе Понта Лопуд Фестивал jедини такав у региону. У оквиру овог програма филмски центри Словеније, Хрватске, Босне и Херцеговине, Северне Македоније, Црне Горе и Србије формираће регионални фонд за подршку редитељкама (женским ауторима), којима ће се додељивати новчана награда као подршка за развој пројекта. Идеја је да се сваке године подржи једна ауторка из региона, што значи да ће у току уговорног периода средства која превазилазе улагања Филмског центра добити ауторка из Србије.</t>
    </r>
  </si>
  <si>
    <t xml:space="preserve">Филмски центар Србије током 2025. године намерава да распише конкурсе у 19 конкурсних категорија. Конкурси за суфинансирање производње домаћих дугометражних, домаћих документарних и производњу мањинских копродукција биће расписани два пута у току године, сви остали конкурси биће расписани једном годишње.  Начин финансирања дугометражних играних филмова подразумева вишегодишње планирање средстава, те из тог разлога постоји посебна позиција за дуговања из које се исплаћују средства за догометражне игране филмове који улазе у продукцију у 2025. години. Укупна средства намењена за финансирање и суфинансирање пројеката у  2025. години износе 962 милиона динара. * Филмски центар Србије је тренутно у процесу тражења сагласности  за исплату  преосталих средстава одобрених на конкурусима за суфинансирање пројеката у  2022. години. Уколико не добије  тражену сагласност, Филмски центар Србије планира да  ребалансом у 2025. покрије преостала дуговања на овој позицији. </t>
  </si>
  <si>
    <t>Репрограмирање дуговања из претходних година</t>
  </si>
  <si>
    <t>ФИЛМОГРАФ</t>
  </si>
  <si>
    <t>Тираж: (3х200)</t>
  </si>
  <si>
    <t>Лектура-коректура</t>
  </si>
  <si>
    <t xml:space="preserve">Суфинансирање производње домаћих дугометражних филмова са националном темом </t>
  </si>
  <si>
    <t>ИВАН ИКИЋ: ИСТОРИЈА ФИЛМСКИХ ПЛАКАТА У СРБИЈИ</t>
  </si>
  <si>
    <t>ЖАРКО ЛАУШЕВИЋ - МОНОГРАФИЈА</t>
  </si>
  <si>
    <t>ПЛАН И ПРОГРАМ ЗА 2025. ГОДИНУ</t>
  </si>
  <si>
    <t>МОНОГРАФИЈА О ДАРКУ БАЈИЋУ</t>
  </si>
  <si>
    <t>1550ЕУР</t>
  </si>
  <si>
    <t>Јаков Петровић</t>
  </si>
  <si>
    <t>У Београду,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</si>
</sst>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quot;RSD&quot;_);[Red]\(#,##0\ &quot;RSD&quot;\)"/>
  </numFmts>
  <fonts count="22" x14ac:knownFonts="1">
    <font>
      <sz val="12"/>
      <color theme="1"/>
      <name val="Calibri"/>
      <family val="2"/>
      <charset val="238"/>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name val="Arial Narrow"/>
      <family val="2"/>
    </font>
    <font>
      <b/>
      <sz val="12"/>
      <name val="Arial Narrow"/>
      <family val="2"/>
    </font>
    <font>
      <sz val="12"/>
      <color theme="1"/>
      <name val="Calibri"/>
      <family val="2"/>
      <scheme val="minor"/>
    </font>
    <font>
      <sz val="10"/>
      <name val="Arial"/>
      <family val="2"/>
    </font>
    <font>
      <sz val="12"/>
      <color rgb="FF9C0006"/>
      <name val="Calibri"/>
      <family val="2"/>
      <scheme val="minor"/>
    </font>
    <font>
      <b/>
      <sz val="12"/>
      <color rgb="FFFF0000"/>
      <name val="Arial Narrow"/>
      <family val="2"/>
    </font>
    <font>
      <sz val="12"/>
      <color rgb="FFFF0000"/>
      <name val="Arial Narrow"/>
      <family val="2"/>
    </font>
    <font>
      <sz val="12"/>
      <color theme="1"/>
      <name val="Arial Narrow"/>
      <family val="2"/>
    </font>
    <font>
      <b/>
      <sz val="12"/>
      <color rgb="FF0070C0"/>
      <name val="Arial Narrow"/>
      <family val="2"/>
    </font>
    <font>
      <sz val="12"/>
      <color rgb="FF0070C0"/>
      <name val="Arial Narrow"/>
      <family val="2"/>
    </font>
    <font>
      <b/>
      <sz val="12"/>
      <name val="Calibri"/>
      <family val="2"/>
      <charset val="238"/>
      <scheme val="minor"/>
    </font>
    <font>
      <b/>
      <sz val="12"/>
      <color theme="1"/>
      <name val="Arial Narrow"/>
      <family val="2"/>
    </font>
    <font>
      <sz val="12"/>
      <color theme="9" tint="-0.249977111117893"/>
      <name val="Arial Narrow"/>
      <family val="2"/>
    </font>
    <font>
      <b/>
      <sz val="12"/>
      <color rgb="FF002060"/>
      <name val="Arial Narrow"/>
      <family val="2"/>
    </font>
    <font>
      <sz val="12"/>
      <color rgb="FF002060"/>
      <name val="Arial Narrow"/>
      <family val="2"/>
    </font>
    <font>
      <sz val="12"/>
      <name val="Calibri"/>
      <family val="2"/>
      <charset val="238"/>
      <scheme val="minor"/>
    </font>
    <font>
      <sz val="12"/>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C0C0C0"/>
        <bgColor indexed="64"/>
      </patternFill>
    </fill>
  </fills>
  <borders count="6">
    <border>
      <left/>
      <right/>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95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7" fillId="0" borderId="0" applyFont="0" applyFill="0" applyBorder="0" applyAlignment="0" applyProtection="0"/>
    <xf numFmtId="0" fontId="8" fillId="0" borderId="0"/>
    <xf numFmtId="0" fontId="8" fillId="0" borderId="0"/>
    <xf numFmtId="0" fontId="9" fillId="5"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66">
    <xf numFmtId="0" fontId="0" fillId="0" borderId="0" xfId="0"/>
    <xf numFmtId="0" fontId="5" fillId="0" borderId="0" xfId="0" applyFont="1"/>
    <xf numFmtId="0" fontId="5" fillId="6" borderId="0" xfId="0" applyFont="1" applyFill="1"/>
    <xf numFmtId="0" fontId="5" fillId="3" borderId="0" xfId="0" applyFont="1" applyFill="1"/>
    <xf numFmtId="0" fontId="6" fillId="0" borderId="1" xfId="0" applyFont="1" applyBorder="1"/>
    <xf numFmtId="0" fontId="5" fillId="0" borderId="1" xfId="0" applyFont="1" applyBorder="1"/>
    <xf numFmtId="0" fontId="6" fillId="0" borderId="1" xfId="0" applyFont="1" applyBorder="1" applyAlignment="1">
      <alignment horizontal="left" vertical="center"/>
    </xf>
    <xf numFmtId="0" fontId="6" fillId="3" borderId="1" xfId="0" applyFont="1" applyFill="1" applyBorder="1" applyAlignment="1">
      <alignment horizontal="left" vertical="center"/>
    </xf>
    <xf numFmtId="0" fontId="5" fillId="0" borderId="1" xfId="0" applyFont="1" applyBorder="1" applyAlignment="1">
      <alignment wrapText="1"/>
    </xf>
    <xf numFmtId="4" fontId="5" fillId="0" borderId="1" xfId="0" applyNumberFormat="1" applyFont="1" applyBorder="1" applyAlignment="1">
      <alignment horizontal="right" vertical="center" wrapText="1"/>
    </xf>
    <xf numFmtId="3" fontId="5" fillId="0" borderId="1" xfId="0" applyNumberFormat="1" applyFont="1" applyBorder="1" applyAlignment="1">
      <alignment wrapText="1"/>
    </xf>
    <xf numFmtId="0" fontId="5"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6" fillId="4" borderId="1" xfId="0" applyFont="1" applyFill="1" applyBorder="1" applyAlignment="1">
      <alignment horizontal="right" wrapText="1"/>
    </xf>
    <xf numFmtId="0" fontId="6" fillId="0" borderId="1" xfId="0" applyFont="1" applyBorder="1" applyAlignment="1">
      <alignment wrapText="1"/>
    </xf>
    <xf numFmtId="0" fontId="6" fillId="0" borderId="1" xfId="0" applyFont="1" applyBorder="1" applyAlignment="1">
      <alignment horizontal="right" vertical="center" wrapText="1"/>
    </xf>
    <xf numFmtId="4" fontId="5" fillId="2" borderId="1" xfId="0" applyNumberFormat="1" applyFont="1" applyFill="1" applyBorder="1" applyAlignment="1">
      <alignment vertical="center" wrapText="1"/>
    </xf>
    <xf numFmtId="0" fontId="5" fillId="6" borderId="1" xfId="0" applyFont="1" applyFill="1" applyBorder="1" applyAlignment="1">
      <alignment vertical="center" wrapText="1"/>
    </xf>
    <xf numFmtId="4" fontId="5" fillId="0" borderId="1" xfId="0" applyNumberFormat="1"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right" vertical="top" wrapText="1"/>
    </xf>
    <xf numFmtId="0" fontId="6" fillId="0" borderId="1" xfId="0" applyFont="1" applyBorder="1" applyAlignment="1">
      <alignment horizontal="left" vertical="top" wrapText="1"/>
    </xf>
    <xf numFmtId="3" fontId="5" fillId="0" borderId="1" xfId="0" applyNumberFormat="1" applyFont="1" applyBorder="1" applyAlignment="1">
      <alignment horizontal="right" vertical="center" wrapText="1"/>
    </xf>
    <xf numFmtId="0" fontId="6" fillId="6" borderId="1" xfId="0" applyFont="1" applyFill="1" applyBorder="1" applyAlignment="1">
      <alignment horizontal="left" vertical="top" wrapText="1"/>
    </xf>
    <xf numFmtId="0" fontId="5" fillId="6" borderId="1" xfId="0" applyFont="1" applyFill="1" applyBorder="1"/>
    <xf numFmtId="0" fontId="6" fillId="0" borderId="1" xfId="0" applyFont="1" applyBorder="1" applyAlignment="1">
      <alignment vertical="center" wrapText="1"/>
    </xf>
    <xf numFmtId="3" fontId="5" fillId="6" borderId="1" xfId="0" applyNumberFormat="1" applyFont="1" applyFill="1" applyBorder="1" applyAlignment="1">
      <alignment wrapText="1"/>
    </xf>
    <xf numFmtId="4" fontId="5" fillId="6" borderId="1" xfId="0" applyNumberFormat="1" applyFont="1" applyFill="1" applyBorder="1" applyAlignment="1">
      <alignment horizontal="right" vertical="center" wrapText="1"/>
    </xf>
    <xf numFmtId="4" fontId="5" fillId="6" borderId="1" xfId="0" applyNumberFormat="1" applyFont="1" applyFill="1" applyBorder="1" applyAlignment="1">
      <alignment vertical="center" wrapText="1"/>
    </xf>
    <xf numFmtId="0" fontId="5" fillId="6" borderId="1" xfId="0" applyFont="1" applyFill="1" applyBorder="1" applyAlignment="1">
      <alignment wrapText="1"/>
    </xf>
    <xf numFmtId="0" fontId="6" fillId="6" borderId="1" xfId="0" applyFont="1" applyFill="1" applyBorder="1" applyAlignment="1">
      <alignment horizontal="right" vertical="center" wrapText="1"/>
    </xf>
    <xf numFmtId="0" fontId="6" fillId="6" borderId="1" xfId="0" applyFont="1" applyFill="1" applyBorder="1" applyAlignment="1">
      <alignment horizontal="left" vertical="center" wrapText="1"/>
    </xf>
    <xf numFmtId="4" fontId="6" fillId="6" borderId="1" xfId="0" applyNumberFormat="1" applyFont="1" applyFill="1" applyBorder="1" applyAlignment="1">
      <alignment horizontal="right" vertical="center" wrapText="1"/>
    </xf>
    <xf numFmtId="1" fontId="5" fillId="6" borderId="1" xfId="0" applyNumberFormat="1" applyFont="1" applyFill="1" applyBorder="1" applyAlignment="1">
      <alignment vertical="center" wrapText="1"/>
    </xf>
    <xf numFmtId="0" fontId="12" fillId="0" borderId="0" xfId="0" applyFont="1"/>
    <xf numFmtId="4" fontId="5" fillId="6" borderId="1" xfId="0" applyNumberFormat="1" applyFont="1" applyFill="1" applyBorder="1" applyAlignment="1">
      <alignment vertical="center"/>
    </xf>
    <xf numFmtId="0" fontId="6" fillId="6" borderId="1" xfId="0" applyFont="1" applyFill="1" applyBorder="1" applyAlignment="1">
      <alignment vertical="center" wrapText="1"/>
    </xf>
    <xf numFmtId="165" fontId="5" fillId="6" borderId="1" xfId="0" applyNumberFormat="1" applyFont="1" applyFill="1" applyBorder="1" applyAlignment="1">
      <alignment horizontal="left" vertical="center" wrapText="1"/>
    </xf>
    <xf numFmtId="3" fontId="6" fillId="6" borderId="1" xfId="0" applyNumberFormat="1" applyFont="1" applyFill="1" applyBorder="1" applyAlignment="1">
      <alignment horizontal="right" vertical="center" wrapText="1"/>
    </xf>
    <xf numFmtId="3"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xf>
    <xf numFmtId="3" fontId="5" fillId="6" borderId="1" xfId="0" applyNumberFormat="1" applyFont="1" applyFill="1" applyBorder="1" applyAlignment="1">
      <alignment horizontal="left" vertical="top" wrapText="1"/>
    </xf>
    <xf numFmtId="0" fontId="5" fillId="6" borderId="1" xfId="0" applyFont="1" applyFill="1" applyBorder="1" applyAlignment="1">
      <alignment horizontal="left" wrapText="1"/>
    </xf>
    <xf numFmtId="4" fontId="5" fillId="0" borderId="1" xfId="0" applyNumberFormat="1" applyFont="1" applyBorder="1" applyAlignment="1">
      <alignment vertical="center"/>
    </xf>
    <xf numFmtId="4" fontId="5" fillId="4" borderId="1" xfId="0" applyNumberFormat="1" applyFont="1" applyFill="1" applyBorder="1" applyAlignment="1">
      <alignment vertical="center"/>
    </xf>
    <xf numFmtId="4" fontId="6" fillId="4" borderId="1" xfId="0" applyNumberFormat="1" applyFont="1" applyFill="1" applyBorder="1" applyAlignment="1">
      <alignment vertical="center" wrapText="1"/>
    </xf>
    <xf numFmtId="4" fontId="5" fillId="4" borderId="1" xfId="0" applyNumberFormat="1" applyFont="1" applyFill="1" applyBorder="1" applyAlignment="1">
      <alignment vertical="center" wrapText="1"/>
    </xf>
    <xf numFmtId="4" fontId="6" fillId="0" borderId="1" xfId="0" applyNumberFormat="1" applyFont="1" applyBorder="1" applyAlignment="1">
      <alignment vertical="center"/>
    </xf>
    <xf numFmtId="0" fontId="5" fillId="6" borderId="1" xfId="0" applyFont="1" applyFill="1" applyBorder="1" applyAlignment="1">
      <alignment horizontal="left" vertical="top" wrapText="1"/>
    </xf>
    <xf numFmtId="4" fontId="11" fillId="6"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5" fillId="0" borderId="0" xfId="0" applyFont="1" applyAlignment="1">
      <alignment vertical="center"/>
    </xf>
    <xf numFmtId="165" fontId="5" fillId="6" borderId="1" xfId="0" applyNumberFormat="1" applyFont="1" applyFill="1" applyBorder="1" applyAlignment="1">
      <alignment horizontal="left" wrapText="1"/>
    </xf>
    <xf numFmtId="4" fontId="5" fillId="6" borderId="1" xfId="0" applyNumberFormat="1" applyFont="1" applyFill="1" applyBorder="1" applyAlignment="1">
      <alignment horizontal="left" vertical="center" wrapText="1"/>
    </xf>
    <xf numFmtId="4" fontId="5" fillId="7" borderId="1" xfId="0" applyNumberFormat="1" applyFont="1" applyFill="1" applyBorder="1" applyAlignment="1">
      <alignment vertical="center"/>
    </xf>
    <xf numFmtId="0" fontId="5" fillId="7" borderId="1" xfId="0" applyFont="1" applyFill="1" applyBorder="1"/>
    <xf numFmtId="0" fontId="10" fillId="6" borderId="1" xfId="0" applyFont="1" applyFill="1" applyBorder="1"/>
    <xf numFmtId="0" fontId="11" fillId="6" borderId="0" xfId="0" applyFont="1" applyFill="1"/>
    <xf numFmtId="0" fontId="10" fillId="6" borderId="0" xfId="0" applyFont="1" applyFill="1"/>
    <xf numFmtId="0" fontId="11" fillId="0" borderId="0" xfId="0" applyFont="1"/>
    <xf numFmtId="0" fontId="5" fillId="3" borderId="1" xfId="0" applyFont="1" applyFill="1" applyBorder="1" applyAlignment="1">
      <alignment horizontal="left" vertical="center" wrapText="1"/>
    </xf>
    <xf numFmtId="0" fontId="11" fillId="0" borderId="1" xfId="0" applyFont="1" applyBorder="1"/>
    <xf numFmtId="0" fontId="10" fillId="0" borderId="1" xfId="0" applyFont="1" applyBorder="1"/>
    <xf numFmtId="4" fontId="11" fillId="0" borderId="1" xfId="0" applyNumberFormat="1" applyFont="1" applyBorder="1" applyAlignment="1">
      <alignment vertical="center"/>
    </xf>
    <xf numFmtId="0" fontId="10" fillId="0" borderId="1" xfId="0" applyFont="1" applyBorder="1" applyAlignment="1">
      <alignment horizontal="left" vertical="center"/>
    </xf>
    <xf numFmtId="0" fontId="10" fillId="2" borderId="1" xfId="0" applyFont="1" applyFill="1" applyBorder="1" applyAlignment="1">
      <alignment horizontal="right" vertical="center" wrapText="1"/>
    </xf>
    <xf numFmtId="0" fontId="10" fillId="3" borderId="1" xfId="0" applyFont="1" applyFill="1" applyBorder="1" applyAlignment="1">
      <alignment horizontal="left" vertical="center"/>
    </xf>
    <xf numFmtId="4" fontId="10" fillId="2" borderId="1" xfId="0" applyNumberFormat="1" applyFont="1" applyFill="1" applyBorder="1" applyAlignment="1">
      <alignment vertical="center" wrapText="1"/>
    </xf>
    <xf numFmtId="0" fontId="14" fillId="0" borderId="1" xfId="0" applyFont="1" applyBorder="1"/>
    <xf numFmtId="0" fontId="14" fillId="6" borderId="1" xfId="0" applyFont="1" applyFill="1" applyBorder="1"/>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right"/>
    </xf>
    <xf numFmtId="4" fontId="11" fillId="0" borderId="1" xfId="0" applyNumberFormat="1" applyFont="1" applyBorder="1" applyAlignment="1">
      <alignment vertical="center" wrapText="1"/>
    </xf>
    <xf numFmtId="0" fontId="11" fillId="0" borderId="1" xfId="0" applyFont="1" applyBorder="1" applyAlignment="1">
      <alignment wrapText="1"/>
    </xf>
    <xf numFmtId="0" fontId="6" fillId="7"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6" borderId="1" xfId="0" applyFont="1" applyFill="1" applyBorder="1" applyAlignment="1">
      <alignment horizontal="left" vertical="center"/>
    </xf>
    <xf numFmtId="0" fontId="5" fillId="6" borderId="1" xfId="0" applyFont="1" applyFill="1" applyBorder="1" applyAlignment="1">
      <alignment horizontal="left" vertical="center"/>
    </xf>
    <xf numFmtId="0" fontId="5" fillId="0" borderId="1" xfId="0" applyFont="1" applyBorder="1" applyAlignment="1">
      <alignment horizontal="left" vertical="center"/>
    </xf>
    <xf numFmtId="0" fontId="5" fillId="0" borderId="3" xfId="0" applyFont="1" applyBorder="1"/>
    <xf numFmtId="0" fontId="6" fillId="2" borderId="3" xfId="0" applyFont="1" applyFill="1" applyBorder="1" applyAlignment="1">
      <alignment horizontal="left" vertical="center" wrapText="1"/>
    </xf>
    <xf numFmtId="0" fontId="5" fillId="6" borderId="4" xfId="0" applyFont="1" applyFill="1" applyBorder="1"/>
    <xf numFmtId="0" fontId="16" fillId="0" borderId="0" xfId="0" applyFont="1"/>
    <xf numFmtId="0" fontId="5" fillId="0" borderId="1" xfId="0" applyFont="1" applyBorder="1" applyAlignment="1">
      <alignment horizontal="left" vertical="top" wrapText="1"/>
    </xf>
    <xf numFmtId="0" fontId="5" fillId="0" borderId="1" xfId="0" applyFont="1" applyBorder="1" applyAlignment="1">
      <alignment horizontal="center" wrapText="1"/>
    </xf>
    <xf numFmtId="1" fontId="14" fillId="6" borderId="1" xfId="0" applyNumberFormat="1" applyFont="1" applyFill="1" applyBorder="1" applyAlignment="1">
      <alignment vertical="center" wrapText="1"/>
    </xf>
    <xf numFmtId="4" fontId="14" fillId="6" borderId="1" xfId="0" applyNumberFormat="1" applyFont="1" applyFill="1" applyBorder="1" applyAlignment="1">
      <alignment vertical="center" wrapText="1"/>
    </xf>
    <xf numFmtId="4" fontId="14"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4" fontId="17" fillId="6" borderId="1" xfId="0" applyNumberFormat="1" applyFont="1" applyFill="1" applyBorder="1" applyAlignment="1">
      <alignment vertical="center" wrapText="1"/>
    </xf>
    <xf numFmtId="0" fontId="5" fillId="6" borderId="0" xfId="0" applyFont="1" applyFill="1" applyAlignment="1">
      <alignment vertical="center"/>
    </xf>
    <xf numFmtId="4" fontId="10" fillId="6" borderId="5" xfId="0" applyNumberFormat="1" applyFont="1" applyFill="1" applyBorder="1" applyAlignment="1">
      <alignment vertical="center"/>
    </xf>
    <xf numFmtId="0" fontId="11" fillId="6" borderId="1" xfId="0" applyFont="1" applyFill="1" applyBorder="1" applyAlignment="1">
      <alignment horizontal="left" vertical="center" wrapText="1"/>
    </xf>
    <xf numFmtId="4" fontId="11" fillId="6" borderId="1" xfId="0" applyNumberFormat="1" applyFont="1" applyFill="1" applyBorder="1" applyAlignment="1">
      <alignment vertical="center"/>
    </xf>
    <xf numFmtId="0" fontId="10" fillId="2" borderId="1" xfId="0" applyFont="1" applyFill="1" applyBorder="1" applyAlignment="1">
      <alignment vertical="center" wrapText="1"/>
    </xf>
    <xf numFmtId="4" fontId="11" fillId="2" borderId="2" xfId="0" applyNumberFormat="1" applyFont="1" applyFill="1" applyBorder="1" applyAlignment="1">
      <alignment vertical="center"/>
    </xf>
    <xf numFmtId="4" fontId="11" fillId="2" borderId="1" xfId="0" applyNumberFormat="1" applyFont="1" applyFill="1" applyBorder="1" applyAlignment="1">
      <alignment vertical="center" wrapText="1"/>
    </xf>
    <xf numFmtId="0" fontId="11" fillId="6" borderId="1" xfId="0" applyFont="1" applyFill="1" applyBorder="1"/>
    <xf numFmtId="0" fontId="10" fillId="3" borderId="1" xfId="0" applyFont="1" applyFill="1" applyBorder="1" applyAlignment="1">
      <alignment horizontal="center" vertical="top" wrapText="1"/>
    </xf>
    <xf numFmtId="4" fontId="10" fillId="6" borderId="1" xfId="0" applyNumberFormat="1" applyFont="1" applyFill="1" applyBorder="1" applyAlignment="1">
      <alignment vertical="center" wrapText="1"/>
    </xf>
    <xf numFmtId="0" fontId="10" fillId="6" borderId="1" xfId="0" applyFont="1" applyFill="1" applyBorder="1" applyAlignment="1">
      <alignment horizontal="righ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4" fontId="11" fillId="2" borderId="1" xfId="0" applyNumberFormat="1" applyFont="1" applyFill="1" applyBorder="1" applyAlignment="1">
      <alignment vertical="center"/>
    </xf>
    <xf numFmtId="3" fontId="10" fillId="0" borderId="1" xfId="0" applyNumberFormat="1" applyFont="1" applyBorder="1" applyAlignment="1">
      <alignment horizontal="right" vertical="center" wrapText="1"/>
    </xf>
    <xf numFmtId="3" fontId="12" fillId="6" borderId="1" xfId="0" applyNumberFormat="1" applyFont="1" applyFill="1" applyBorder="1" applyAlignment="1">
      <alignment horizontal="left" vertical="top" wrapText="1"/>
    </xf>
    <xf numFmtId="4" fontId="12" fillId="6" borderId="1" xfId="0" applyNumberFormat="1" applyFont="1" applyFill="1" applyBorder="1" applyAlignment="1">
      <alignment vertical="center" wrapText="1"/>
    </xf>
    <xf numFmtId="0" fontId="12" fillId="0" borderId="1" xfId="0" applyFont="1" applyBorder="1" applyAlignment="1">
      <alignment wrapText="1"/>
    </xf>
    <xf numFmtId="4" fontId="12" fillId="0" borderId="1" xfId="0" applyNumberFormat="1" applyFont="1" applyBorder="1" applyAlignment="1">
      <alignment vertical="center" wrapText="1"/>
    </xf>
    <xf numFmtId="4" fontId="16" fillId="0" borderId="1" xfId="0" applyNumberFormat="1" applyFont="1" applyBorder="1" applyAlignment="1">
      <alignment horizontal="right" vertical="center" wrapText="1"/>
    </xf>
    <xf numFmtId="0" fontId="12" fillId="0" borderId="1" xfId="0" applyFont="1" applyBorder="1" applyAlignment="1">
      <alignment horizontal="left" vertical="top" wrapText="1"/>
    </xf>
    <xf numFmtId="1" fontId="14" fillId="0" borderId="1" xfId="0" applyNumberFormat="1" applyFont="1" applyBorder="1" applyAlignment="1">
      <alignment vertical="center" wrapText="1"/>
    </xf>
    <xf numFmtId="1" fontId="5"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4" fontId="12" fillId="0" borderId="1" xfId="0" applyNumberFormat="1" applyFont="1" applyBorder="1" applyAlignment="1">
      <alignment horizontal="right" vertical="top" wrapText="1"/>
    </xf>
    <xf numFmtId="4" fontId="12" fillId="0" borderId="1" xfId="0" applyNumberFormat="1" applyFont="1" applyBorder="1" applyAlignment="1">
      <alignment horizontal="right" vertical="center" wrapText="1"/>
    </xf>
    <xf numFmtId="0" fontId="16" fillId="0" borderId="1" xfId="0" applyFont="1" applyBorder="1" applyAlignment="1">
      <alignment horizontal="right" vertical="top" wrapText="1"/>
    </xf>
    <xf numFmtId="0" fontId="16" fillId="0" borderId="1" xfId="0" applyFont="1" applyBorder="1" applyAlignment="1">
      <alignment horizontal="right" vertical="center" wrapText="1"/>
    </xf>
    <xf numFmtId="4" fontId="16" fillId="0" borderId="1" xfId="0" applyNumberFormat="1" applyFont="1" applyBorder="1" applyAlignment="1">
      <alignment vertical="center" wrapText="1"/>
    </xf>
    <xf numFmtId="0" fontId="12" fillId="6" borderId="1" xfId="0" applyFont="1" applyFill="1" applyBorder="1"/>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2" borderId="1" xfId="0" applyFont="1" applyFill="1" applyBorder="1" applyAlignment="1">
      <alignment horizontal="left" vertical="center" wrapText="1"/>
    </xf>
    <xf numFmtId="0" fontId="12" fillId="6"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6" fillId="6" borderId="1" xfId="0" applyFont="1" applyFill="1" applyBorder="1" applyAlignment="1">
      <alignment horizontal="left" vertical="center"/>
    </xf>
    <xf numFmtId="3" fontId="12" fillId="0" borderId="1" xfId="0" applyNumberFormat="1" applyFont="1" applyBorder="1" applyAlignment="1">
      <alignment horizontal="left" wrapText="1"/>
    </xf>
    <xf numFmtId="0" fontId="12" fillId="0" borderId="1" xfId="0" applyFont="1" applyBorder="1"/>
    <xf numFmtId="0" fontId="16" fillId="6" borderId="1" xfId="0" applyFont="1" applyFill="1" applyBorder="1" applyAlignment="1">
      <alignment horizontal="left" vertical="center" wrapText="1"/>
    </xf>
    <xf numFmtId="0" fontId="16" fillId="6" borderId="1" xfId="0" applyFont="1" applyFill="1" applyBorder="1" applyAlignment="1">
      <alignment vertical="center" wrapText="1"/>
    </xf>
    <xf numFmtId="4" fontId="16" fillId="6" borderId="1" xfId="0" applyNumberFormat="1" applyFont="1" applyFill="1" applyBorder="1" applyAlignment="1">
      <alignmen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right" vertical="center" wrapText="1"/>
    </xf>
    <xf numFmtId="0" fontId="16" fillId="2" borderId="1" xfId="0" applyFont="1" applyFill="1" applyBorder="1" applyAlignment="1">
      <alignment vertical="center" wrapText="1"/>
    </xf>
    <xf numFmtId="4" fontId="12" fillId="2" borderId="1" xfId="0" applyNumberFormat="1" applyFont="1" applyFill="1" applyBorder="1" applyAlignment="1">
      <alignment vertical="center" wrapText="1"/>
    </xf>
    <xf numFmtId="4" fontId="16" fillId="2" borderId="1" xfId="0" applyNumberFormat="1" applyFont="1" applyFill="1" applyBorder="1" applyAlignment="1">
      <alignment vertical="center" wrapText="1"/>
    </xf>
    <xf numFmtId="4" fontId="12" fillId="6" borderId="1" xfId="0" applyNumberFormat="1" applyFont="1" applyFill="1" applyBorder="1" applyAlignment="1">
      <alignment vertical="center"/>
    </xf>
    <xf numFmtId="4" fontId="19" fillId="0" borderId="1" xfId="0" applyNumberFormat="1" applyFont="1" applyBorder="1" applyAlignment="1">
      <alignment vertical="center"/>
    </xf>
    <xf numFmtId="0" fontId="19" fillId="0" borderId="1" xfId="0" applyFont="1" applyBorder="1" applyAlignment="1">
      <alignment vertical="center"/>
    </xf>
    <xf numFmtId="4" fontId="19" fillId="3" borderId="1" xfId="0" applyNumberFormat="1" applyFont="1" applyFill="1" applyBorder="1" applyAlignment="1">
      <alignment vertical="center"/>
    </xf>
    <xf numFmtId="4" fontId="18" fillId="0" borderId="1" xfId="457" applyNumberFormat="1" applyFont="1" applyBorder="1" applyAlignment="1">
      <alignment vertical="center"/>
    </xf>
    <xf numFmtId="0" fontId="6" fillId="0" borderId="0" xfId="0" applyFont="1"/>
    <xf numFmtId="0" fontId="5" fillId="6" borderId="1" xfId="0" applyFont="1" applyFill="1" applyBorder="1" applyAlignment="1">
      <alignment vertical="center"/>
    </xf>
    <xf numFmtId="4" fontId="6" fillId="6" borderId="1" xfId="0" applyNumberFormat="1" applyFont="1" applyFill="1" applyBorder="1" applyAlignment="1">
      <alignment vertical="center" wrapText="1"/>
    </xf>
    <xf numFmtId="0" fontId="5" fillId="6" borderId="2" xfId="0" applyFont="1" applyFill="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right" vertical="center" wrapText="1"/>
    </xf>
    <xf numFmtId="0" fontId="5" fillId="0" borderId="2" xfId="0" applyFont="1" applyBorder="1" applyAlignment="1">
      <alignment vertical="center" wrapText="1"/>
    </xf>
    <xf numFmtId="0" fontId="6" fillId="6" borderId="1"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3" fontId="6" fillId="4"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0" fontId="6" fillId="0" borderId="1" xfId="0" applyFont="1" applyBorder="1" applyAlignment="1">
      <alignment vertical="center"/>
    </xf>
    <xf numFmtId="0" fontId="5" fillId="0" borderId="0" xfId="0" applyFont="1" applyAlignment="1">
      <alignment vertical="center" wrapText="1"/>
    </xf>
    <xf numFmtId="4" fontId="5" fillId="0" borderId="0" xfId="0" applyNumberFormat="1" applyFont="1" applyAlignment="1">
      <alignment vertical="center" wrapText="1"/>
    </xf>
    <xf numFmtId="4" fontId="5" fillId="6" borderId="1" xfId="0" applyNumberFormat="1" applyFont="1" applyFill="1" applyBorder="1" applyAlignment="1">
      <alignment wrapText="1"/>
    </xf>
    <xf numFmtId="0" fontId="6" fillId="6" borderId="1" xfId="0" applyFont="1" applyFill="1" applyBorder="1" applyAlignment="1">
      <alignment horizontal="right" vertical="center"/>
    </xf>
    <xf numFmtId="4" fontId="5" fillId="2" borderId="1" xfId="0" applyNumberFormat="1" applyFont="1" applyFill="1" applyBorder="1" applyAlignment="1">
      <alignment vertical="center"/>
    </xf>
    <xf numFmtId="4" fontId="5" fillId="0" borderId="1" xfId="0" applyNumberFormat="1" applyFont="1" applyBorder="1"/>
    <xf numFmtId="4" fontId="5" fillId="0" borderId="1" xfId="0" applyNumberFormat="1" applyFont="1" applyBorder="1" applyAlignment="1">
      <alignment wrapText="1"/>
    </xf>
    <xf numFmtId="4" fontId="5" fillId="0" borderId="0" xfId="0" applyNumberFormat="1" applyFont="1" applyAlignment="1">
      <alignment horizontal="right" vertical="center" wrapText="1"/>
    </xf>
    <xf numFmtId="0" fontId="6" fillId="0" borderId="1" xfId="0" applyFont="1" applyBorder="1" applyAlignment="1">
      <alignment horizontal="right" vertical="center"/>
    </xf>
    <xf numFmtId="4" fontId="5" fillId="6" borderId="1" xfId="0" applyNumberFormat="1" applyFont="1" applyFill="1" applyBorder="1"/>
    <xf numFmtId="3" fontId="6" fillId="0" borderId="1" xfId="0" applyNumberFormat="1" applyFont="1" applyBorder="1" applyAlignment="1">
      <alignment horizontal="right" vertical="center" wrapText="1"/>
    </xf>
    <xf numFmtId="3" fontId="6" fillId="6" borderId="1" xfId="0" applyNumberFormat="1" applyFont="1" applyFill="1" applyBorder="1" applyAlignment="1">
      <alignment horizontal="left" vertical="center" wrapText="1"/>
    </xf>
    <xf numFmtId="4"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xf>
    <xf numFmtId="0" fontId="6" fillId="8" borderId="1" xfId="0" applyFont="1" applyFill="1" applyBorder="1"/>
    <xf numFmtId="0" fontId="6" fillId="6" borderId="1" xfId="0" applyFont="1" applyFill="1" applyBorder="1"/>
    <xf numFmtId="3" fontId="5" fillId="6" borderId="1" xfId="0" applyNumberFormat="1" applyFont="1" applyFill="1" applyBorder="1" applyAlignment="1">
      <alignment horizontal="left" vertical="center" wrapText="1"/>
    </xf>
    <xf numFmtId="0" fontId="6" fillId="6" borderId="1" xfId="0" applyFont="1" applyFill="1" applyBorder="1" applyAlignment="1">
      <alignment horizontal="left"/>
    </xf>
    <xf numFmtId="0" fontId="5" fillId="6" borderId="1" xfId="0" applyFont="1" applyFill="1" applyBorder="1" applyAlignment="1">
      <alignment horizontal="left"/>
    </xf>
    <xf numFmtId="0" fontId="6" fillId="0" borderId="1" xfId="0" applyFont="1" applyBorder="1" applyAlignment="1">
      <alignment horizontal="right"/>
    </xf>
    <xf numFmtId="4" fontId="12" fillId="6" borderId="1" xfId="460" applyNumberFormat="1" applyFont="1" applyFill="1" applyBorder="1" applyAlignment="1">
      <alignment horizontal="right" vertical="center" wrapText="1"/>
    </xf>
    <xf numFmtId="4" fontId="12" fillId="6" borderId="5" xfId="0" applyNumberFormat="1" applyFont="1" applyFill="1" applyBorder="1" applyAlignment="1">
      <alignment vertical="center"/>
    </xf>
    <xf numFmtId="4" fontId="12" fillId="6" borderId="1" xfId="0" applyNumberFormat="1" applyFont="1" applyFill="1" applyBorder="1" applyAlignment="1">
      <alignment horizontal="right" vertical="center" wrapText="1"/>
    </xf>
    <xf numFmtId="4" fontId="16" fillId="6" borderId="5" xfId="0" applyNumberFormat="1" applyFont="1" applyFill="1" applyBorder="1" applyAlignment="1">
      <alignment vertical="center"/>
    </xf>
    <xf numFmtId="0" fontId="12" fillId="6" borderId="1" xfId="0" applyFont="1" applyFill="1" applyBorder="1" applyAlignment="1">
      <alignment vertical="center"/>
    </xf>
    <xf numFmtId="0" fontId="12" fillId="6" borderId="1" xfId="460" applyFont="1" applyFill="1" applyBorder="1" applyAlignment="1">
      <alignment vertical="center" wrapText="1"/>
    </xf>
    <xf numFmtId="0" fontId="5" fillId="0" borderId="1" xfId="0" applyFont="1" applyBorder="1" applyAlignment="1">
      <alignment vertical="center"/>
    </xf>
    <xf numFmtId="3" fontId="6" fillId="3" borderId="1" xfId="458" applyNumberFormat="1" applyFont="1" applyFill="1" applyBorder="1" applyAlignment="1">
      <alignment horizontal="left" vertical="center"/>
    </xf>
    <xf numFmtId="49" fontId="6" fillId="3" borderId="1" xfId="458" applyNumberFormat="1" applyFont="1" applyFill="1" applyBorder="1" applyAlignment="1">
      <alignment horizontal="center" vertical="center" wrapText="1"/>
    </xf>
    <xf numFmtId="0" fontId="5" fillId="3" borderId="1" xfId="0" applyFont="1" applyFill="1" applyBorder="1" applyAlignment="1">
      <alignment vertical="center"/>
    </xf>
    <xf numFmtId="3" fontId="6" fillId="0" borderId="1" xfId="458" applyNumberFormat="1" applyFont="1" applyBorder="1" applyAlignment="1">
      <alignment horizontal="center" vertical="center"/>
    </xf>
    <xf numFmtId="4" fontId="6" fillId="0" borderId="1" xfId="458" applyNumberFormat="1" applyFont="1" applyBorder="1" applyAlignment="1">
      <alignment horizontal="center" vertical="center" wrapText="1"/>
    </xf>
    <xf numFmtId="3" fontId="6" fillId="0" borderId="1" xfId="458" applyNumberFormat="1" applyFont="1" applyBorder="1" applyAlignment="1">
      <alignment vertical="center" wrapText="1"/>
    </xf>
    <xf numFmtId="4" fontId="6" fillId="0" borderId="1" xfId="459" applyNumberFormat="1" applyFont="1" applyBorder="1" applyAlignment="1">
      <alignment vertical="center"/>
    </xf>
    <xf numFmtId="4" fontId="6" fillId="6" borderId="1" xfId="0" applyNumberFormat="1" applyFont="1" applyFill="1" applyBorder="1" applyAlignment="1">
      <alignment vertical="center"/>
    </xf>
    <xf numFmtId="0" fontId="5" fillId="0" borderId="1" xfId="458" applyFont="1" applyBorder="1" applyAlignment="1">
      <alignment horizontal="left" vertical="center" wrapText="1"/>
    </xf>
    <xf numFmtId="4" fontId="5" fillId="0" borderId="1" xfId="459" applyNumberFormat="1" applyFont="1" applyBorder="1" applyAlignment="1" applyProtection="1">
      <alignment vertical="center"/>
      <protection locked="0"/>
    </xf>
    <xf numFmtId="0" fontId="5" fillId="0" borderId="1" xfId="458" applyFont="1" applyBorder="1" applyAlignment="1">
      <alignment vertical="center" wrapText="1"/>
    </xf>
    <xf numFmtId="0" fontId="6" fillId="0" borderId="1" xfId="458" applyFont="1" applyBorder="1" applyAlignment="1">
      <alignment vertical="center"/>
    </xf>
    <xf numFmtId="4" fontId="6" fillId="0" borderId="1" xfId="459" applyNumberFormat="1" applyFont="1" applyBorder="1" applyAlignment="1" applyProtection="1">
      <alignment vertical="center"/>
      <protection locked="0"/>
    </xf>
    <xf numFmtId="0" fontId="5" fillId="0" borderId="1" xfId="458" applyFont="1" applyBorder="1" applyAlignment="1">
      <alignment vertical="center"/>
    </xf>
    <xf numFmtId="0" fontId="6" fillId="0" borderId="1" xfId="458" applyFont="1" applyBorder="1" applyAlignment="1">
      <alignment vertical="center" wrapText="1"/>
    </xf>
    <xf numFmtId="0" fontId="5" fillId="3" borderId="1" xfId="458" applyFont="1" applyFill="1" applyBorder="1" applyAlignment="1">
      <alignment vertical="center" wrapText="1"/>
    </xf>
    <xf numFmtId="4" fontId="5" fillId="3" borderId="1" xfId="459" applyNumberFormat="1" applyFont="1" applyFill="1" applyBorder="1" applyAlignment="1" applyProtection="1">
      <alignment vertical="center"/>
      <protection locked="0"/>
    </xf>
    <xf numFmtId="4" fontId="6" fillId="0" borderId="1" xfId="458" applyNumberFormat="1" applyFont="1" applyBorder="1" applyAlignment="1">
      <alignment vertical="center"/>
    </xf>
    <xf numFmtId="4" fontId="5" fillId="0" borderId="1" xfId="0" applyNumberFormat="1" applyFont="1" applyBorder="1" applyAlignment="1">
      <alignment horizontal="left"/>
    </xf>
    <xf numFmtId="4" fontId="6" fillId="0" borderId="1" xfId="0" applyNumberFormat="1" applyFont="1" applyBorder="1"/>
    <xf numFmtId="4" fontId="6" fillId="3" borderId="1" xfId="0" applyNumberFormat="1" applyFont="1" applyFill="1" applyBorder="1"/>
    <xf numFmtId="4" fontId="6" fillId="0" borderId="1" xfId="457" applyNumberFormat="1" applyFont="1" applyBorder="1" applyAlignment="1">
      <alignment vertical="center"/>
    </xf>
    <xf numFmtId="4" fontId="6" fillId="0" borderId="1" xfId="0" applyNumberFormat="1" applyFont="1" applyBorder="1" applyAlignment="1">
      <alignment horizontal="right"/>
    </xf>
    <xf numFmtId="4" fontId="6" fillId="0" borderId="1" xfId="0" applyNumberFormat="1" applyFont="1" applyBorder="1" applyAlignment="1">
      <alignment horizontal="right" vertical="center"/>
    </xf>
    <xf numFmtId="10" fontId="5" fillId="0" borderId="1" xfId="0" applyNumberFormat="1" applyFont="1" applyBorder="1" applyAlignment="1">
      <alignment vertical="center"/>
    </xf>
    <xf numFmtId="10" fontId="6" fillId="0" borderId="1" xfId="0" applyNumberFormat="1" applyFont="1" applyBorder="1" applyAlignment="1">
      <alignment vertical="center"/>
    </xf>
    <xf numFmtId="3" fontId="5" fillId="0" borderId="1" xfId="0" applyNumberFormat="1" applyFont="1" applyBorder="1" applyAlignment="1">
      <alignment horizontal="left" wrapText="1"/>
    </xf>
    <xf numFmtId="4" fontId="6"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0" fontId="5" fillId="2" borderId="1" xfId="0" applyFont="1" applyFill="1" applyBorder="1" applyAlignment="1">
      <alignment vertical="top" wrapText="1"/>
    </xf>
    <xf numFmtId="0" fontId="5" fillId="0" borderId="1" xfId="0" applyFont="1" applyBorder="1" applyAlignment="1">
      <alignmen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5" fillId="2" borderId="0" xfId="0" applyFont="1" applyFill="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top"/>
    </xf>
    <xf numFmtId="0" fontId="6" fillId="0" borderId="1" xfId="0" applyFont="1" applyBorder="1" applyAlignment="1">
      <alignment vertical="center" wrapText="1"/>
    </xf>
    <xf numFmtId="0" fontId="5" fillId="3" borderId="1" xfId="0" applyFont="1" applyFill="1" applyBorder="1" applyAlignment="1">
      <alignment horizontal="left" vertical="top" wrapText="1"/>
    </xf>
    <xf numFmtId="0" fontId="6" fillId="0" borderId="1" xfId="0" applyFont="1" applyBorder="1" applyAlignment="1">
      <alignment horizontal="right"/>
    </xf>
    <xf numFmtId="0" fontId="15" fillId="0" borderId="1" xfId="0" applyFont="1" applyBorder="1" applyAlignment="1">
      <alignment horizontal="right"/>
    </xf>
    <xf numFmtId="0" fontId="0" fillId="0" borderId="1" xfId="0" applyBorder="1" applyAlignment="1">
      <alignment wrapTex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7" borderId="1" xfId="0" applyFont="1" applyFill="1" applyBorder="1" applyAlignment="1">
      <alignment horizontal="center"/>
    </xf>
    <xf numFmtId="0" fontId="6" fillId="0" borderId="1" xfId="0" applyFont="1" applyBorder="1" applyAlignment="1">
      <alignment horizontal="center"/>
    </xf>
    <xf numFmtId="0" fontId="5" fillId="2" borderId="3" xfId="0" applyFont="1" applyFill="1" applyBorder="1" applyAlignment="1">
      <alignment horizontal="left" vertical="center" wrapText="1"/>
    </xf>
    <xf numFmtId="0" fontId="5" fillId="0" borderId="3" xfId="0" applyFont="1" applyBorder="1" applyAlignment="1">
      <alignment vertical="center"/>
    </xf>
    <xf numFmtId="0" fontId="5" fillId="3" borderId="1" xfId="0" applyFont="1" applyFill="1" applyBorder="1" applyAlignment="1" applyProtection="1">
      <alignment vertical="top" wrapText="1"/>
      <protection locked="0"/>
    </xf>
    <xf numFmtId="0" fontId="5" fillId="3" borderId="1" xfId="0" applyFont="1" applyFill="1" applyBorder="1" applyAlignment="1">
      <alignment horizontal="left" vertical="top"/>
    </xf>
    <xf numFmtId="0" fontId="6" fillId="3" borderId="1" xfId="0" applyFont="1" applyFill="1" applyBorder="1" applyAlignment="1">
      <alignment vertical="center"/>
    </xf>
    <xf numFmtId="0" fontId="6" fillId="0" borderId="1" xfId="0" applyFont="1" applyBorder="1" applyAlignment="1">
      <alignment vertical="center"/>
    </xf>
    <xf numFmtId="0" fontId="10" fillId="3"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5" fillId="9" borderId="1" xfId="0" applyFont="1" applyFill="1" applyBorder="1" applyAlignment="1">
      <alignment horizontal="left" vertical="center" wrapText="1"/>
    </xf>
    <xf numFmtId="0" fontId="12" fillId="9" borderId="1" xfId="0" applyFont="1" applyFill="1" applyBorder="1" applyAlignment="1">
      <alignment horizontal="left" vertical="top" wrapText="1"/>
    </xf>
    <xf numFmtId="0" fontId="12" fillId="9" borderId="1" xfId="0" applyFont="1" applyFill="1" applyBorder="1" applyAlignment="1">
      <alignment horizontal="left" vertical="top"/>
    </xf>
    <xf numFmtId="0" fontId="12" fillId="2" borderId="1" xfId="0" applyFont="1" applyFill="1" applyBorder="1" applyAlignment="1">
      <alignment horizontal="left" vertical="center" wrapText="1"/>
    </xf>
    <xf numFmtId="0" fontId="1" fillId="0" borderId="1" xfId="0" applyFont="1" applyBorder="1" applyAlignment="1">
      <alignment horizontal="left" vertical="center"/>
    </xf>
    <xf numFmtId="0" fontId="5" fillId="0" borderId="1" xfId="0" applyFont="1" applyBorder="1" applyAlignment="1">
      <alignment vertical="top"/>
    </xf>
    <xf numFmtId="0" fontId="5" fillId="2" borderId="1" xfId="0" applyFont="1" applyFill="1" applyBorder="1" applyAlignment="1">
      <alignment horizontal="left" vertical="center" wrapText="1"/>
    </xf>
    <xf numFmtId="0" fontId="21" fillId="0" borderId="1" xfId="0" applyFont="1" applyBorder="1" applyAlignment="1">
      <alignment horizontal="left" vertical="center"/>
    </xf>
    <xf numFmtId="0" fontId="5" fillId="0" borderId="1" xfId="0" applyFont="1" applyBorder="1"/>
    <xf numFmtId="0" fontId="0" fillId="0" borderId="1" xfId="0" applyBorder="1" applyAlignment="1">
      <alignment horizontal="left" vertical="center" wrapText="1"/>
    </xf>
    <xf numFmtId="0" fontId="6" fillId="0" borderId="1" xfId="0" applyFont="1" applyBorder="1" applyAlignment="1">
      <alignment vertical="top" wrapText="1"/>
    </xf>
    <xf numFmtId="0" fontId="11" fillId="2" borderId="1" xfId="0" applyFont="1" applyFill="1" applyBorder="1" applyAlignment="1">
      <alignment horizontal="left" vertical="top" wrapText="1"/>
    </xf>
    <xf numFmtId="0" fontId="11"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11" fillId="3" borderId="1" xfId="0" applyFont="1" applyFill="1" applyBorder="1" applyAlignment="1">
      <alignment horizontal="center"/>
    </xf>
    <xf numFmtId="3" fontId="6" fillId="3" borderId="1" xfId="0" applyNumberFormat="1" applyFont="1" applyFill="1" applyBorder="1" applyAlignment="1">
      <alignment horizontal="center" vertical="center" wrapText="1"/>
    </xf>
    <xf numFmtId="0" fontId="12" fillId="9" borderId="1" xfId="0" applyFont="1" applyFill="1" applyBorder="1" applyAlignment="1">
      <alignment wrapText="1"/>
    </xf>
    <xf numFmtId="0" fontId="6" fillId="6" borderId="1" xfId="0" applyFont="1" applyFill="1" applyBorder="1" applyAlignment="1">
      <alignment vertical="center"/>
    </xf>
    <xf numFmtId="0" fontId="5" fillId="9" borderId="1" xfId="0" applyFont="1" applyFill="1" applyBorder="1" applyAlignment="1">
      <alignment horizontal="left" vertical="top" wrapText="1"/>
    </xf>
    <xf numFmtId="0" fontId="5" fillId="9" borderId="1" xfId="0" applyFont="1" applyFill="1" applyBorder="1" applyAlignment="1">
      <alignment wrapText="1"/>
    </xf>
  </cellXfs>
  <cellStyles count="954">
    <cellStyle name="Hiperveza" xfId="1" builtinId="8" hidden="1"/>
    <cellStyle name="Hiperveza" xfId="3" builtinId="8" hidden="1"/>
    <cellStyle name="Hiperveza" xfId="5" builtinId="8" hidden="1"/>
    <cellStyle name="Hiperveza" xfId="7" builtinId="8" hidden="1"/>
    <cellStyle name="Hiperveza" xfId="9" builtinId="8" hidden="1"/>
    <cellStyle name="Hiperveza" xfId="11" builtinId="8" hidden="1"/>
    <cellStyle name="Hiperveza" xfId="13" builtinId="8" hidden="1"/>
    <cellStyle name="Hiperveza" xfId="15" builtinId="8" hidden="1"/>
    <cellStyle name="Hiperveza" xfId="17" builtinId="8" hidden="1"/>
    <cellStyle name="Hiperveza" xfId="19" builtinId="8" hidden="1"/>
    <cellStyle name="Hiperveza" xfId="21" builtinId="8" hidden="1"/>
    <cellStyle name="Hiperveza" xfId="23" builtinId="8" hidden="1"/>
    <cellStyle name="Hiperveza" xfId="25" builtinId="8" hidden="1"/>
    <cellStyle name="Hiperveza" xfId="27" builtinId="8" hidden="1"/>
    <cellStyle name="Hiperveza" xfId="29" builtinId="8" hidden="1"/>
    <cellStyle name="Hiperveza" xfId="31" builtinId="8" hidden="1"/>
    <cellStyle name="Hiperveza" xfId="33" builtinId="8" hidden="1"/>
    <cellStyle name="Hiperveza" xfId="35" builtinId="8" hidden="1"/>
    <cellStyle name="Hiperveza" xfId="37" builtinId="8" hidden="1"/>
    <cellStyle name="Hiperveza" xfId="39" builtinId="8" hidden="1"/>
    <cellStyle name="Hiperveza" xfId="41" builtinId="8" hidden="1"/>
    <cellStyle name="Hiperveza" xfId="43" builtinId="8" hidden="1"/>
    <cellStyle name="Hiperveza" xfId="45" builtinId="8" hidden="1"/>
    <cellStyle name="Hiperveza" xfId="47" builtinId="8" hidden="1"/>
    <cellStyle name="Hiperveza" xfId="49" builtinId="8" hidden="1"/>
    <cellStyle name="Hiperveza" xfId="51" builtinId="8" hidden="1"/>
    <cellStyle name="Hiperveza" xfId="53" builtinId="8" hidden="1"/>
    <cellStyle name="Hiperveza" xfId="55" builtinId="8" hidden="1"/>
    <cellStyle name="Hiperveza" xfId="57" builtinId="8" hidden="1"/>
    <cellStyle name="Hiperveza" xfId="59" builtinId="8" hidden="1"/>
    <cellStyle name="Hiperveza" xfId="61" builtinId="8" hidden="1"/>
    <cellStyle name="Hiperveza" xfId="63" builtinId="8" hidden="1"/>
    <cellStyle name="Hiperveza" xfId="65" builtinId="8" hidden="1"/>
    <cellStyle name="Hiperveza" xfId="67" builtinId="8" hidden="1"/>
    <cellStyle name="Hiperveza" xfId="69" builtinId="8" hidden="1"/>
    <cellStyle name="Hiperveza" xfId="71" builtinId="8" hidden="1"/>
    <cellStyle name="Hiperveza" xfId="73" builtinId="8" hidden="1"/>
    <cellStyle name="Hiperveza" xfId="75" builtinId="8" hidden="1"/>
    <cellStyle name="Hiperveza" xfId="77" builtinId="8" hidden="1"/>
    <cellStyle name="Hiperveza" xfId="79" builtinId="8" hidden="1"/>
    <cellStyle name="Hiperveza" xfId="81" builtinId="8" hidden="1"/>
    <cellStyle name="Hiperveza" xfId="83" builtinId="8" hidden="1"/>
    <cellStyle name="Hiperveza" xfId="85" builtinId="8" hidden="1"/>
    <cellStyle name="Hiperveza" xfId="87" builtinId="8" hidden="1"/>
    <cellStyle name="Hiperveza" xfId="89" builtinId="8" hidden="1"/>
    <cellStyle name="Hiperveza" xfId="91" builtinId="8" hidden="1"/>
    <cellStyle name="Hiperveza" xfId="93" builtinId="8" hidden="1"/>
    <cellStyle name="Hiperveza" xfId="95" builtinId="8" hidden="1"/>
    <cellStyle name="Hiperveza" xfId="97" builtinId="8" hidden="1"/>
    <cellStyle name="Hiperveza" xfId="99" builtinId="8" hidden="1"/>
    <cellStyle name="Hiperveza" xfId="101" builtinId="8" hidden="1"/>
    <cellStyle name="Hiperveza" xfId="103" builtinId="8" hidden="1"/>
    <cellStyle name="Hiperveza" xfId="105" builtinId="8" hidden="1"/>
    <cellStyle name="Hiperveza" xfId="107" builtinId="8" hidden="1"/>
    <cellStyle name="Hiperveza" xfId="109" builtinId="8" hidden="1"/>
    <cellStyle name="Hiperveza" xfId="111" builtinId="8" hidden="1"/>
    <cellStyle name="Hiperveza" xfId="113" builtinId="8" hidden="1"/>
    <cellStyle name="Hiperveza" xfId="115" builtinId="8" hidden="1"/>
    <cellStyle name="Hiperveza" xfId="117" builtinId="8" hidden="1"/>
    <cellStyle name="Hiperveza" xfId="119" builtinId="8" hidden="1"/>
    <cellStyle name="Hiperveza" xfId="121" builtinId="8" hidden="1"/>
    <cellStyle name="Hiperveza" xfId="123" builtinId="8" hidden="1"/>
    <cellStyle name="Hiperveza" xfId="125" builtinId="8" hidden="1"/>
    <cellStyle name="Hiperveza" xfId="127" builtinId="8" hidden="1"/>
    <cellStyle name="Hiperveza" xfId="129" builtinId="8" hidden="1"/>
    <cellStyle name="Hiperveza" xfId="131" builtinId="8" hidden="1"/>
    <cellStyle name="Hiperveza" xfId="133" builtinId="8" hidden="1"/>
    <cellStyle name="Hiperveza" xfId="135" builtinId="8" hidden="1"/>
    <cellStyle name="Hiperveza" xfId="137" builtinId="8" hidden="1"/>
    <cellStyle name="Hiperveza" xfId="139" builtinId="8" hidden="1"/>
    <cellStyle name="Hiperveza" xfId="141" builtinId="8" hidden="1"/>
    <cellStyle name="Hiperveza" xfId="143" builtinId="8" hidden="1"/>
    <cellStyle name="Hiperveza" xfId="145" builtinId="8" hidden="1"/>
    <cellStyle name="Hiperveza" xfId="147" builtinId="8" hidden="1"/>
    <cellStyle name="Hiperveza" xfId="149" builtinId="8" hidden="1"/>
    <cellStyle name="Hiperveza" xfId="151" builtinId="8" hidden="1"/>
    <cellStyle name="Hiperveza" xfId="153" builtinId="8" hidden="1"/>
    <cellStyle name="Hiperveza" xfId="155" builtinId="8" hidden="1"/>
    <cellStyle name="Hiperveza" xfId="157" builtinId="8" hidden="1"/>
    <cellStyle name="Hiperveza" xfId="159" builtinId="8" hidden="1"/>
    <cellStyle name="Hiperveza" xfId="161" builtinId="8" hidden="1"/>
    <cellStyle name="Hiperveza" xfId="163" builtinId="8" hidden="1"/>
    <cellStyle name="Hiperveza" xfId="165" builtinId="8" hidden="1"/>
    <cellStyle name="Hiperveza" xfId="167" builtinId="8" hidden="1"/>
    <cellStyle name="Hiperveza" xfId="169" builtinId="8" hidden="1"/>
    <cellStyle name="Hiperveza" xfId="171" builtinId="8" hidden="1"/>
    <cellStyle name="Hiperveza" xfId="173" builtinId="8" hidden="1"/>
    <cellStyle name="Hiperveza" xfId="175" builtinId="8" hidden="1"/>
    <cellStyle name="Hiperveza" xfId="177" builtinId="8" hidden="1"/>
    <cellStyle name="Hiperveza" xfId="179" builtinId="8" hidden="1"/>
    <cellStyle name="Hiperveza" xfId="181" builtinId="8" hidden="1"/>
    <cellStyle name="Hiperveza" xfId="183" builtinId="8" hidden="1"/>
    <cellStyle name="Hiperveza" xfId="185" builtinId="8" hidden="1"/>
    <cellStyle name="Hiperveza" xfId="187" builtinId="8" hidden="1"/>
    <cellStyle name="Hiperveza" xfId="189" builtinId="8" hidden="1"/>
    <cellStyle name="Hiperveza" xfId="191" builtinId="8" hidden="1"/>
    <cellStyle name="Hiperveza" xfId="193" builtinId="8" hidden="1"/>
    <cellStyle name="Hiperveza" xfId="195" builtinId="8" hidden="1"/>
    <cellStyle name="Hiperveza" xfId="197" builtinId="8" hidden="1"/>
    <cellStyle name="Hiperveza" xfId="199" builtinId="8" hidden="1"/>
    <cellStyle name="Hiperveza" xfId="201" builtinId="8" hidden="1"/>
    <cellStyle name="Hiperveza" xfId="203" builtinId="8" hidden="1"/>
    <cellStyle name="Hiperveza" xfId="205" builtinId="8" hidden="1"/>
    <cellStyle name="Hiperveza" xfId="207" builtinId="8" hidden="1"/>
    <cellStyle name="Hiperveza" xfId="209" builtinId="8" hidden="1"/>
    <cellStyle name="Hiperveza" xfId="211" builtinId="8" hidden="1"/>
    <cellStyle name="Hiperveza" xfId="213" builtinId="8" hidden="1"/>
    <cellStyle name="Hiperveza" xfId="215" builtinId="8" hidden="1"/>
    <cellStyle name="Hiperveza" xfId="217" builtinId="8" hidden="1"/>
    <cellStyle name="Hiperveza" xfId="219" builtinId="8" hidden="1"/>
    <cellStyle name="Hiperveza" xfId="221" builtinId="8" hidden="1"/>
    <cellStyle name="Hiperveza" xfId="223" builtinId="8" hidden="1"/>
    <cellStyle name="Hiperveza" xfId="225" builtinId="8" hidden="1"/>
    <cellStyle name="Hiperveza" xfId="227" builtinId="8" hidden="1"/>
    <cellStyle name="Hiperveza" xfId="229" builtinId="8" hidden="1"/>
    <cellStyle name="Hiperveza" xfId="231" builtinId="8" hidden="1"/>
    <cellStyle name="Hiperveza" xfId="233" builtinId="8" hidden="1"/>
    <cellStyle name="Hiperveza" xfId="235" builtinId="8" hidden="1"/>
    <cellStyle name="Hiperveza" xfId="237" builtinId="8" hidden="1"/>
    <cellStyle name="Hiperveza" xfId="239" builtinId="8" hidden="1"/>
    <cellStyle name="Hiperveza" xfId="241" builtinId="8" hidden="1"/>
    <cellStyle name="Hiperveza" xfId="243" builtinId="8" hidden="1"/>
    <cellStyle name="Hiperveza" xfId="245" builtinId="8" hidden="1"/>
    <cellStyle name="Hiperveza" xfId="247" builtinId="8" hidden="1"/>
    <cellStyle name="Hiperveza" xfId="249" builtinId="8" hidden="1"/>
    <cellStyle name="Hiperveza" xfId="251" builtinId="8" hidden="1"/>
    <cellStyle name="Hiperveza" xfId="253" builtinId="8" hidden="1"/>
    <cellStyle name="Hiperveza" xfId="255" builtinId="8" hidden="1"/>
    <cellStyle name="Hiperveza" xfId="257" builtinId="8" hidden="1"/>
    <cellStyle name="Hiperveza" xfId="259" builtinId="8" hidden="1"/>
    <cellStyle name="Hiperveza" xfId="261" builtinId="8" hidden="1"/>
    <cellStyle name="Hiperveza" xfId="263" builtinId="8" hidden="1"/>
    <cellStyle name="Hiperveza" xfId="265" builtinId="8" hidden="1"/>
    <cellStyle name="Hiperveza" xfId="267" builtinId="8" hidden="1"/>
    <cellStyle name="Hiperveza" xfId="269" builtinId="8" hidden="1"/>
    <cellStyle name="Hiperveza" xfId="271" builtinId="8" hidden="1"/>
    <cellStyle name="Hiperveza" xfId="273" builtinId="8" hidden="1"/>
    <cellStyle name="Hiperveza" xfId="275" builtinId="8" hidden="1"/>
    <cellStyle name="Hiperveza" xfId="277" builtinId="8" hidden="1"/>
    <cellStyle name="Hiperveza" xfId="279" builtinId="8" hidden="1"/>
    <cellStyle name="Hiperveza" xfId="281" builtinId="8" hidden="1"/>
    <cellStyle name="Hiperveza" xfId="283" builtinId="8" hidden="1"/>
    <cellStyle name="Hiperveza" xfId="285" builtinId="8" hidden="1"/>
    <cellStyle name="Hiperveza" xfId="287" builtinId="8" hidden="1"/>
    <cellStyle name="Hiperveza" xfId="289" builtinId="8" hidden="1"/>
    <cellStyle name="Hiperveza" xfId="291" builtinId="8" hidden="1"/>
    <cellStyle name="Hiperveza" xfId="293" builtinId="8" hidden="1"/>
    <cellStyle name="Hiperveza" xfId="295" builtinId="8" hidden="1"/>
    <cellStyle name="Hiperveza" xfId="297" builtinId="8" hidden="1"/>
    <cellStyle name="Hiperveza" xfId="299" builtinId="8" hidden="1"/>
    <cellStyle name="Hiperveza" xfId="301" builtinId="8" hidden="1"/>
    <cellStyle name="Hiperveza" xfId="303" builtinId="8" hidden="1"/>
    <cellStyle name="Hiperveza" xfId="305" builtinId="8" hidden="1"/>
    <cellStyle name="Hiperveza" xfId="307" builtinId="8" hidden="1"/>
    <cellStyle name="Hiperveza" xfId="309" builtinId="8" hidden="1"/>
    <cellStyle name="Hiperveza" xfId="311" builtinId="8" hidden="1"/>
    <cellStyle name="Hiperveza" xfId="313" builtinId="8" hidden="1"/>
    <cellStyle name="Hiperveza" xfId="315" builtinId="8" hidden="1"/>
    <cellStyle name="Hiperveza" xfId="317" builtinId="8" hidden="1"/>
    <cellStyle name="Hiperveza" xfId="319" builtinId="8" hidden="1"/>
    <cellStyle name="Hiperveza" xfId="321" builtinId="8" hidden="1"/>
    <cellStyle name="Hiperveza" xfId="323" builtinId="8" hidden="1"/>
    <cellStyle name="Hiperveza" xfId="325" builtinId="8" hidden="1"/>
    <cellStyle name="Hiperveza" xfId="327" builtinId="8" hidden="1"/>
    <cellStyle name="Hiperveza" xfId="329" builtinId="8" hidden="1"/>
    <cellStyle name="Hiperveza" xfId="331" builtinId="8" hidden="1"/>
    <cellStyle name="Hiperveza" xfId="333" builtinId="8" hidden="1"/>
    <cellStyle name="Hiperveza" xfId="335" builtinId="8" hidden="1"/>
    <cellStyle name="Hiperveza" xfId="337" builtinId="8" hidden="1"/>
    <cellStyle name="Hiperveza" xfId="339" builtinId="8" hidden="1"/>
    <cellStyle name="Hiperveza" xfId="341" builtinId="8" hidden="1"/>
    <cellStyle name="Hiperveza" xfId="343" builtinId="8" hidden="1"/>
    <cellStyle name="Hiperveza" xfId="345" builtinId="8" hidden="1"/>
    <cellStyle name="Hiperveza" xfId="347" builtinId="8" hidden="1"/>
    <cellStyle name="Hiperveza" xfId="349" builtinId="8" hidden="1"/>
    <cellStyle name="Hiperveza" xfId="351" builtinId="8" hidden="1"/>
    <cellStyle name="Hiperveza" xfId="353" builtinId="8" hidden="1"/>
    <cellStyle name="Hiperveza" xfId="355" builtinId="8" hidden="1"/>
    <cellStyle name="Hiperveza" xfId="357" builtinId="8" hidden="1"/>
    <cellStyle name="Hiperveza" xfId="359" builtinId="8" hidden="1"/>
    <cellStyle name="Hiperveza" xfId="361" builtinId="8" hidden="1"/>
    <cellStyle name="Hiperveza" xfId="363" builtinId="8" hidden="1"/>
    <cellStyle name="Hiperveza" xfId="365" builtinId="8" hidden="1"/>
    <cellStyle name="Hiperveza" xfId="367" builtinId="8" hidden="1"/>
    <cellStyle name="Hiperveza" xfId="369" builtinId="8" hidden="1"/>
    <cellStyle name="Hiperveza" xfId="371" builtinId="8" hidden="1"/>
    <cellStyle name="Hiperveza" xfId="373" builtinId="8" hidden="1"/>
    <cellStyle name="Hiperveza" xfId="375" builtinId="8" hidden="1"/>
    <cellStyle name="Hiperveza" xfId="377" builtinId="8" hidden="1"/>
    <cellStyle name="Hiperveza" xfId="379" builtinId="8" hidden="1"/>
    <cellStyle name="Hiperveza" xfId="381" builtinId="8" hidden="1"/>
    <cellStyle name="Hiperveza" xfId="383" builtinId="8" hidden="1"/>
    <cellStyle name="Hiperveza" xfId="385" builtinId="8" hidden="1"/>
    <cellStyle name="Hiperveza" xfId="387" builtinId="8" hidden="1"/>
    <cellStyle name="Hiperveza" xfId="389" builtinId="8" hidden="1"/>
    <cellStyle name="Hiperveza" xfId="391" builtinId="8" hidden="1"/>
    <cellStyle name="Hiperveza" xfId="393" builtinId="8" hidden="1"/>
    <cellStyle name="Hiperveza" xfId="395" builtinId="8" hidden="1"/>
    <cellStyle name="Hiperveza" xfId="397" builtinId="8" hidden="1"/>
    <cellStyle name="Hiperveza" xfId="399" builtinId="8" hidden="1"/>
    <cellStyle name="Hiperveza" xfId="401" builtinId="8" hidden="1"/>
    <cellStyle name="Hiperveza" xfId="403" builtinId="8" hidden="1"/>
    <cellStyle name="Hiperveza" xfId="405" builtinId="8" hidden="1"/>
    <cellStyle name="Hiperveza" xfId="407" builtinId="8" hidden="1"/>
    <cellStyle name="Hiperveza" xfId="409" builtinId="8" hidden="1"/>
    <cellStyle name="Hiperveza" xfId="411" builtinId="8" hidden="1"/>
    <cellStyle name="Hiperveza" xfId="413" builtinId="8" hidden="1"/>
    <cellStyle name="Hiperveza" xfId="415" builtinId="8" hidden="1"/>
    <cellStyle name="Hiperveza" xfId="417" builtinId="8" hidden="1"/>
    <cellStyle name="Hiperveza" xfId="419" builtinId="8" hidden="1"/>
    <cellStyle name="Hiperveza" xfId="421" builtinId="8" hidden="1"/>
    <cellStyle name="Hiperveza" xfId="423" builtinId="8" hidden="1"/>
    <cellStyle name="Hiperveza" xfId="425" builtinId="8" hidden="1"/>
    <cellStyle name="Hiperveza" xfId="427" builtinId="8" hidden="1"/>
    <cellStyle name="Hiperveza" xfId="429" builtinId="8" hidden="1"/>
    <cellStyle name="Hiperveza" xfId="431" builtinId="8" hidden="1"/>
    <cellStyle name="Hiperveza" xfId="433" builtinId="8" hidden="1"/>
    <cellStyle name="Hiperveza" xfId="435" builtinId="8" hidden="1"/>
    <cellStyle name="Hiperveza" xfId="437" builtinId="8" hidden="1"/>
    <cellStyle name="Hiperveza" xfId="439" builtinId="8" hidden="1"/>
    <cellStyle name="Hiperveza" xfId="441" builtinId="8" hidden="1"/>
    <cellStyle name="Hiperveza" xfId="443" builtinId="8" hidden="1"/>
    <cellStyle name="Hiperveza" xfId="445" builtinId="8" hidden="1"/>
    <cellStyle name="Hiperveza" xfId="447" builtinId="8" hidden="1"/>
    <cellStyle name="Hiperveza" xfId="449" builtinId="8" hidden="1"/>
    <cellStyle name="Hiperveza" xfId="451" builtinId="8" hidden="1"/>
    <cellStyle name="Hiperveza" xfId="453" builtinId="8" hidden="1"/>
    <cellStyle name="Hiperveza" xfId="455" builtinId="8" hidden="1"/>
    <cellStyle name="Hiperveza" xfId="461" builtinId="8" hidden="1"/>
    <cellStyle name="Hiperveza" xfId="463" builtinId="8" hidden="1"/>
    <cellStyle name="Hiperveza" xfId="465" builtinId="8" hidden="1"/>
    <cellStyle name="Hiperveza" xfId="467" builtinId="8" hidden="1"/>
    <cellStyle name="Hiperveza" xfId="469" builtinId="8" hidden="1"/>
    <cellStyle name="Hiperveza" xfId="471" builtinId="8" hidden="1"/>
    <cellStyle name="Hiperveza" xfId="473" builtinId="8" hidden="1"/>
    <cellStyle name="Hiperveza" xfId="475" builtinId="8" hidden="1"/>
    <cellStyle name="Hiperveza" xfId="477" builtinId="8" hidden="1"/>
    <cellStyle name="Hiperveza" xfId="479" builtinId="8" hidden="1"/>
    <cellStyle name="Hiperveza" xfId="481" builtinId="8" hidden="1"/>
    <cellStyle name="Hiperveza" xfId="483" builtinId="8" hidden="1"/>
    <cellStyle name="Hiperveza" xfId="485" builtinId="8" hidden="1"/>
    <cellStyle name="Hiperveza" xfId="487" builtinId="8" hidden="1"/>
    <cellStyle name="Hiperveza" xfId="489" builtinId="8" hidden="1"/>
    <cellStyle name="Hiperveza" xfId="491" builtinId="8" hidden="1"/>
    <cellStyle name="Hiperveza" xfId="493" builtinId="8" hidden="1"/>
    <cellStyle name="Hiperveza" xfId="495" builtinId="8" hidden="1"/>
    <cellStyle name="Hiperveza" xfId="497" builtinId="8" hidden="1"/>
    <cellStyle name="Hiperveza" xfId="499" builtinId="8" hidden="1"/>
    <cellStyle name="Hiperveza" xfId="501" builtinId="8" hidden="1"/>
    <cellStyle name="Hiperveza" xfId="503" builtinId="8" hidden="1"/>
    <cellStyle name="Hiperveza" xfId="505" builtinId="8" hidden="1"/>
    <cellStyle name="Hiperveza" xfId="507" builtinId="8" hidden="1"/>
    <cellStyle name="Hiperveza" xfId="509" builtinId="8" hidden="1"/>
    <cellStyle name="Hiperveza" xfId="511" builtinId="8" hidden="1"/>
    <cellStyle name="Hiperveza" xfId="513" builtinId="8" hidden="1"/>
    <cellStyle name="Hiperveza" xfId="515" builtinId="8" hidden="1"/>
    <cellStyle name="Hiperveza" xfId="517" builtinId="8" hidden="1"/>
    <cellStyle name="Hiperveza" xfId="519" builtinId="8" hidden="1"/>
    <cellStyle name="Hiperveza" xfId="521" builtinId="8" hidden="1"/>
    <cellStyle name="Hiperveza" xfId="523" builtinId="8" hidden="1"/>
    <cellStyle name="Hiperveza" xfId="525" builtinId="8" hidden="1"/>
    <cellStyle name="Hiperveza" xfId="527" builtinId="8" hidden="1"/>
    <cellStyle name="Hiperveza" xfId="529" builtinId="8" hidden="1"/>
    <cellStyle name="Hiperveza" xfId="531" builtinId="8" hidden="1"/>
    <cellStyle name="Hiperveza" xfId="533" builtinId="8" hidden="1"/>
    <cellStyle name="Hiperveza" xfId="535" builtinId="8" hidden="1"/>
    <cellStyle name="Hiperveza" xfId="537" builtinId="8" hidden="1"/>
    <cellStyle name="Hiperveza" xfId="539" builtinId="8" hidden="1"/>
    <cellStyle name="Hiperveza" xfId="541" builtinId="8" hidden="1"/>
    <cellStyle name="Hiperveza" xfId="543" builtinId="8" hidden="1"/>
    <cellStyle name="Hiperveza" xfId="545" builtinId="8" hidden="1"/>
    <cellStyle name="Hiperveza" xfId="547" builtinId="8" hidden="1"/>
    <cellStyle name="Hiperveza" xfId="549" builtinId="8" hidden="1"/>
    <cellStyle name="Hiperveza" xfId="551" builtinId="8" hidden="1"/>
    <cellStyle name="Hiperveza" xfId="553" builtinId="8" hidden="1"/>
    <cellStyle name="Hiperveza" xfId="555" builtinId="8" hidden="1"/>
    <cellStyle name="Hiperveza" xfId="557" builtinId="8" hidden="1"/>
    <cellStyle name="Hiperveza" xfId="559" builtinId="8" hidden="1"/>
    <cellStyle name="Hiperveza" xfId="561" builtinId="8" hidden="1"/>
    <cellStyle name="Hiperveza" xfId="563" builtinId="8" hidden="1"/>
    <cellStyle name="Hiperveza" xfId="565" builtinId="8" hidden="1"/>
    <cellStyle name="Hiperveza" xfId="567" builtinId="8" hidden="1"/>
    <cellStyle name="Hiperveza" xfId="569" builtinId="8" hidden="1"/>
    <cellStyle name="Hiperveza" xfId="571" builtinId="8" hidden="1"/>
    <cellStyle name="Hiperveza" xfId="573" builtinId="8" hidden="1"/>
    <cellStyle name="Hiperveza" xfId="575" builtinId="8" hidden="1"/>
    <cellStyle name="Hiperveza" xfId="577" builtinId="8" hidden="1"/>
    <cellStyle name="Hiperveza" xfId="579" builtinId="8" hidden="1"/>
    <cellStyle name="Hiperveza" xfId="581" builtinId="8" hidden="1"/>
    <cellStyle name="Hiperveza" xfId="583" builtinId="8" hidden="1"/>
    <cellStyle name="Hiperveza" xfId="585" builtinId="8" hidden="1"/>
    <cellStyle name="Hiperveza" xfId="587" builtinId="8" hidden="1"/>
    <cellStyle name="Hiperveza" xfId="589" builtinId="8" hidden="1"/>
    <cellStyle name="Hiperveza" xfId="591" builtinId="8" hidden="1"/>
    <cellStyle name="Hiperveza" xfId="593" builtinId="8" hidden="1"/>
    <cellStyle name="Hiperveza" xfId="595" builtinId="8" hidden="1"/>
    <cellStyle name="Hiperveza" xfId="597" builtinId="8" hidden="1"/>
    <cellStyle name="Hiperveza" xfId="599" builtinId="8" hidden="1"/>
    <cellStyle name="Hiperveza" xfId="601" builtinId="8" hidden="1"/>
    <cellStyle name="Hiperveza" xfId="603" builtinId="8" hidden="1"/>
    <cellStyle name="Hiperveza" xfId="605" builtinId="8" hidden="1"/>
    <cellStyle name="Hiperveza" xfId="607" builtinId="8" hidden="1"/>
    <cellStyle name="Hiperveza" xfId="609" builtinId="8" hidden="1"/>
    <cellStyle name="Hiperveza" xfId="611" builtinId="8" hidden="1"/>
    <cellStyle name="Hiperveza" xfId="613" builtinId="8" hidden="1"/>
    <cellStyle name="Hiperveza" xfId="615" builtinId="8" hidden="1"/>
    <cellStyle name="Hiperveza" xfId="617" builtinId="8" hidden="1"/>
    <cellStyle name="Hiperveza" xfId="619" builtinId="8" hidden="1"/>
    <cellStyle name="Hiperveza" xfId="621" builtinId="8" hidden="1"/>
    <cellStyle name="Hiperveza" xfId="623" builtinId="8" hidden="1"/>
    <cellStyle name="Hiperveza" xfId="625" builtinId="8" hidden="1"/>
    <cellStyle name="Hiperveza" xfId="627" builtinId="8" hidden="1"/>
    <cellStyle name="Hiperveza" xfId="629" builtinId="8" hidden="1"/>
    <cellStyle name="Hiperveza" xfId="631" builtinId="8" hidden="1"/>
    <cellStyle name="Hiperveza" xfId="633" builtinId="8" hidden="1"/>
    <cellStyle name="Hiperveza" xfId="635" builtinId="8" hidden="1"/>
    <cellStyle name="Hiperveza" xfId="637" builtinId="8" hidden="1"/>
    <cellStyle name="Hiperveza" xfId="639" builtinId="8" hidden="1"/>
    <cellStyle name="Hiperveza" xfId="641" builtinId="8" hidden="1"/>
    <cellStyle name="Hiperveza" xfId="643" builtinId="8" hidden="1"/>
    <cellStyle name="Hiperveza" xfId="645" builtinId="8" hidden="1"/>
    <cellStyle name="Hiperveza" xfId="647" builtinId="8" hidden="1"/>
    <cellStyle name="Hiperveza" xfId="649" builtinId="8" hidden="1"/>
    <cellStyle name="Hiperveza" xfId="651" builtinId="8" hidden="1"/>
    <cellStyle name="Hiperveza" xfId="653" builtinId="8" hidden="1"/>
    <cellStyle name="Hiperveza" xfId="655" builtinId="8" hidden="1"/>
    <cellStyle name="Hiperveza" xfId="657" builtinId="8" hidden="1"/>
    <cellStyle name="Hiperveza" xfId="659" builtinId="8" hidden="1"/>
    <cellStyle name="Hiperveza" xfId="661" builtinId="8" hidden="1"/>
    <cellStyle name="Hiperveza" xfId="663" builtinId="8" hidden="1"/>
    <cellStyle name="Hiperveza" xfId="665" builtinId="8" hidden="1"/>
    <cellStyle name="Hiperveza" xfId="667" builtinId="8" hidden="1"/>
    <cellStyle name="Hiperveza" xfId="669" builtinId="8" hidden="1"/>
    <cellStyle name="Hiperveza" xfId="671" builtinId="8" hidden="1"/>
    <cellStyle name="Hiperveza" xfId="673" builtinId="8" hidden="1"/>
    <cellStyle name="Hiperveza" xfId="675" builtinId="8" hidden="1"/>
    <cellStyle name="Hiperveza" xfId="680" builtinId="8" hidden="1"/>
    <cellStyle name="Hiperveza" xfId="682" builtinId="8" hidden="1"/>
    <cellStyle name="Hiperveza" xfId="684" builtinId="8" hidden="1"/>
    <cellStyle name="Hiperveza" xfId="686" builtinId="8" hidden="1"/>
    <cellStyle name="Hiperveza" xfId="688" builtinId="8" hidden="1"/>
    <cellStyle name="Hiperveza" xfId="690" builtinId="8" hidden="1"/>
    <cellStyle name="Hiperveza" xfId="692" builtinId="8" hidden="1"/>
    <cellStyle name="Hiperveza" xfId="694" builtinId="8" hidden="1"/>
    <cellStyle name="Hiperveza" xfId="696" builtinId="8" hidden="1"/>
    <cellStyle name="Hiperveza" xfId="698" builtinId="8" hidden="1"/>
    <cellStyle name="Hiperveza" xfId="700" builtinId="8" hidden="1"/>
    <cellStyle name="Hiperveza" xfId="702" builtinId="8" hidden="1"/>
    <cellStyle name="Hiperveza" xfId="704" builtinId="8" hidden="1"/>
    <cellStyle name="Hiperveza" xfId="706" builtinId="8" hidden="1"/>
    <cellStyle name="Hiperveza" xfId="708" builtinId="8" hidden="1"/>
    <cellStyle name="Hiperveza" xfId="710" builtinId="8" hidden="1"/>
    <cellStyle name="Hiperveza" xfId="712" builtinId="8" hidden="1"/>
    <cellStyle name="Hiperveza" xfId="714" builtinId="8" hidden="1"/>
    <cellStyle name="Hiperveza" xfId="716" builtinId="8" hidden="1"/>
    <cellStyle name="Hiperveza" xfId="718" builtinId="8" hidden="1"/>
    <cellStyle name="Hiperveza" xfId="720" builtinId="8" hidden="1"/>
    <cellStyle name="Hiperveza" xfId="722" builtinId="8" hidden="1"/>
    <cellStyle name="Hiperveza" xfId="724" builtinId="8" hidden="1"/>
    <cellStyle name="Hiperveza" xfId="726" builtinId="8" hidden="1"/>
    <cellStyle name="Hiperveza" xfId="728" builtinId="8" hidden="1"/>
    <cellStyle name="Hiperveza" xfId="730" builtinId="8" hidden="1"/>
    <cellStyle name="Hiperveza" xfId="732" builtinId="8" hidden="1"/>
    <cellStyle name="Hiperveza" xfId="734" builtinId="8" hidden="1"/>
    <cellStyle name="Hiperveza" xfId="736" builtinId="8" hidden="1"/>
    <cellStyle name="Hiperveza" xfId="738" builtinId="8" hidden="1"/>
    <cellStyle name="Hiperveza" xfId="740" builtinId="8" hidden="1"/>
    <cellStyle name="Hiperveza" xfId="742" builtinId="8" hidden="1"/>
    <cellStyle name="Hiperveza" xfId="744" builtinId="8" hidden="1"/>
    <cellStyle name="Hiperveza" xfId="746" builtinId="8" hidden="1"/>
    <cellStyle name="Hiperveza" xfId="748" builtinId="8" hidden="1"/>
    <cellStyle name="Hiperveza" xfId="750" builtinId="8" hidden="1"/>
    <cellStyle name="Hiperveza" xfId="752" builtinId="8" hidden="1"/>
    <cellStyle name="Hiperveza" xfId="754" builtinId="8" hidden="1"/>
    <cellStyle name="Hiperveza" xfId="756" builtinId="8" hidden="1"/>
    <cellStyle name="Hiperveza" xfId="758" builtinId="8" hidden="1"/>
    <cellStyle name="Hiperveza" xfId="760" builtinId="8" hidden="1"/>
    <cellStyle name="Hiperveza" xfId="762" builtinId="8" hidden="1"/>
    <cellStyle name="Hiperveza" xfId="764" builtinId="8" hidden="1"/>
    <cellStyle name="Hiperveza" xfId="766" builtinId="8" hidden="1"/>
    <cellStyle name="Hiperveza" xfId="768" builtinId="8" hidden="1"/>
    <cellStyle name="Hiperveza" xfId="770" builtinId="8" hidden="1"/>
    <cellStyle name="Hiperveza" xfId="772" builtinId="8" hidden="1"/>
    <cellStyle name="Hiperveza" xfId="774" builtinId="8" hidden="1"/>
    <cellStyle name="Hiperveza" xfId="776" builtinId="8" hidden="1"/>
    <cellStyle name="Hiperveza" xfId="778" builtinId="8" hidden="1"/>
    <cellStyle name="Hiperveza" xfId="780" builtinId="8" hidden="1"/>
    <cellStyle name="Hiperveza" xfId="782" builtinId="8" hidden="1"/>
    <cellStyle name="Hiperveza" xfId="784" builtinId="8" hidden="1"/>
    <cellStyle name="Hiperveza" xfId="786" builtinId="8" hidden="1"/>
    <cellStyle name="Hiperveza" xfId="788" builtinId="8" hidden="1"/>
    <cellStyle name="Hiperveza" xfId="790" builtinId="8" hidden="1"/>
    <cellStyle name="Hiperveza" xfId="792" builtinId="8" hidden="1"/>
    <cellStyle name="Hiperveza" xfId="794" builtinId="8" hidden="1"/>
    <cellStyle name="Hiperveza" xfId="796" builtinId="8" hidden="1"/>
    <cellStyle name="Hiperveza" xfId="798" builtinId="8" hidden="1"/>
    <cellStyle name="Hiperveza" xfId="800" builtinId="8" hidden="1"/>
    <cellStyle name="Hiperveza" xfId="802" builtinId="8" hidden="1"/>
    <cellStyle name="Hiperveza" xfId="804" builtinId="8" hidden="1"/>
    <cellStyle name="Hiperveza" xfId="806" builtinId="8" hidden="1"/>
    <cellStyle name="Hiperveza" xfId="808" builtinId="8" hidden="1"/>
    <cellStyle name="Hiperveza" xfId="810" builtinId="8" hidden="1"/>
    <cellStyle name="Hiperveza" xfId="812" builtinId="8" hidden="1"/>
    <cellStyle name="Hiperveza" xfId="814" builtinId="8" hidden="1"/>
    <cellStyle name="Hiperveza" xfId="816" builtinId="8" hidden="1"/>
    <cellStyle name="Hiperveza" xfId="818" builtinId="8" hidden="1"/>
    <cellStyle name="Hiperveza" xfId="820" builtinId="8" hidden="1"/>
    <cellStyle name="Hiperveza" xfId="822" builtinId="8" hidden="1"/>
    <cellStyle name="Hiperveza" xfId="824" builtinId="8" hidden="1"/>
    <cellStyle name="Hiperveza" xfId="826" builtinId="8" hidden="1"/>
    <cellStyle name="Hiperveza" xfId="828" builtinId="8" hidden="1"/>
    <cellStyle name="Hiperveza" xfId="830" builtinId="8" hidden="1"/>
    <cellStyle name="Hiperveza" xfId="832" builtinId="8" hidden="1"/>
    <cellStyle name="Hiperveza" xfId="834" builtinId="8" hidden="1"/>
    <cellStyle name="Hiperveza" xfId="836" builtinId="8" hidden="1"/>
    <cellStyle name="Hiperveza" xfId="838" builtinId="8" hidden="1"/>
    <cellStyle name="Hiperveza" xfId="840" builtinId="8" hidden="1"/>
    <cellStyle name="Hiperveza" xfId="842" builtinId="8" hidden="1"/>
    <cellStyle name="Hiperveza" xfId="844" builtinId="8" hidden="1"/>
    <cellStyle name="Hiperveza" xfId="846" builtinId="8" hidden="1"/>
    <cellStyle name="Hiperveza" xfId="848" builtinId="8" hidden="1"/>
    <cellStyle name="Hiperveza" xfId="850" builtinId="8" hidden="1"/>
    <cellStyle name="Hiperveza" xfId="852" builtinId="8" hidden="1"/>
    <cellStyle name="Hiperveza" xfId="854" builtinId="8" hidden="1"/>
    <cellStyle name="Hiperveza" xfId="856" builtinId="8" hidden="1"/>
    <cellStyle name="Hiperveza" xfId="858" builtinId="8" hidden="1"/>
    <cellStyle name="Hiperveza" xfId="860" builtinId="8" hidden="1"/>
    <cellStyle name="Hiperveza" xfId="862" builtinId="8" hidden="1"/>
    <cellStyle name="Hiperveza" xfId="864" builtinId="8" hidden="1"/>
    <cellStyle name="Hiperveza" xfId="866" builtinId="8" hidden="1"/>
    <cellStyle name="Hiperveza" xfId="868" builtinId="8" hidden="1"/>
    <cellStyle name="Hiperveza" xfId="870" builtinId="8" hidden="1"/>
    <cellStyle name="Hiperveza" xfId="872" builtinId="8" hidden="1"/>
    <cellStyle name="Hiperveza" xfId="874" builtinId="8" hidden="1"/>
    <cellStyle name="Hiperveza" xfId="876" builtinId="8" hidden="1"/>
    <cellStyle name="Hiperveza" xfId="878" builtinId="8" hidden="1"/>
    <cellStyle name="Hiperveza" xfId="880" builtinId="8" hidden="1"/>
    <cellStyle name="Hiperveza" xfId="882" builtinId="8" hidden="1"/>
    <cellStyle name="Hiperveza" xfId="884" builtinId="8" hidden="1"/>
    <cellStyle name="Hiperveza" xfId="886" builtinId="8" hidden="1"/>
    <cellStyle name="Hiperveza" xfId="888" builtinId="8" hidden="1"/>
    <cellStyle name="Hiperveza" xfId="890" builtinId="8" hidden="1"/>
    <cellStyle name="Hiperveza" xfId="892" builtinId="8" hidden="1"/>
    <cellStyle name="Hiperveza" xfId="894" builtinId="8" hidden="1"/>
    <cellStyle name="Hiperveza" xfId="896" builtinId="8" hidden="1"/>
    <cellStyle name="Hiperveza" xfId="898" builtinId="8" hidden="1"/>
    <cellStyle name="Hiperveza" xfId="900" builtinId="8" hidden="1"/>
    <cellStyle name="Hiperveza" xfId="902" builtinId="8" hidden="1"/>
    <cellStyle name="Hiperveza" xfId="904" builtinId="8" hidden="1"/>
    <cellStyle name="Hiperveza" xfId="906" builtinId="8" hidden="1"/>
    <cellStyle name="Hiperveza" xfId="908" builtinId="8" hidden="1"/>
    <cellStyle name="Hiperveza" xfId="910" builtinId="8" hidden="1"/>
    <cellStyle name="Hiperveza" xfId="912" builtinId="8" hidden="1"/>
    <cellStyle name="Hiperveza" xfId="914" builtinId="8" hidden="1"/>
    <cellStyle name="Hiperveza" xfId="916" builtinId="8" hidden="1"/>
    <cellStyle name="Hiperveza" xfId="918" builtinId="8" hidden="1"/>
    <cellStyle name="Hiperveza" xfId="920" builtinId="8" hidden="1"/>
    <cellStyle name="Hiperveza" xfId="922" builtinId="8" hidden="1"/>
    <cellStyle name="Hiperveza" xfId="924" builtinId="8" hidden="1"/>
    <cellStyle name="Hiperveza" xfId="926" builtinId="8" hidden="1"/>
    <cellStyle name="Hiperveza" xfId="928" builtinId="8" hidden="1"/>
    <cellStyle name="Hiperveza" xfId="930" builtinId="8" hidden="1"/>
    <cellStyle name="Hiperveza" xfId="932" builtinId="8" hidden="1"/>
    <cellStyle name="Hiperveza" xfId="934" builtinId="8" hidden="1"/>
    <cellStyle name="Hiperveza" xfId="936" builtinId="8" hidden="1"/>
    <cellStyle name="Hiperveza" xfId="938" builtinId="8" hidden="1"/>
    <cellStyle name="Hiperveza" xfId="940" builtinId="8" hidden="1"/>
    <cellStyle name="Hiperveza" xfId="942" builtinId="8" hidden="1"/>
    <cellStyle name="Hiperveza" xfId="944" builtinId="8" hidden="1"/>
    <cellStyle name="Hiperveza" xfId="946" builtinId="8" hidden="1"/>
    <cellStyle name="Hiperveza" xfId="948" builtinId="8" hidden="1"/>
    <cellStyle name="Hiperveza" xfId="950" builtinId="8" hidden="1"/>
    <cellStyle name="Hiperveza" xfId="952" builtinId="8" hidden="1"/>
    <cellStyle name="Ispraćena hiperveza" xfId="2" builtinId="9" hidden="1"/>
    <cellStyle name="Ispraćena hiperveza" xfId="4" builtinId="9" hidden="1"/>
    <cellStyle name="Ispraćena hiperveza" xfId="6" builtinId="9" hidden="1"/>
    <cellStyle name="Ispraćena hiperveza" xfId="8" builtinId="9" hidden="1"/>
    <cellStyle name="Ispraćena hiperveza" xfId="10" builtinId="9" hidden="1"/>
    <cellStyle name="Ispraćena hiperveza" xfId="12" builtinId="9" hidden="1"/>
    <cellStyle name="Ispraćena hiperveza" xfId="14" builtinId="9" hidden="1"/>
    <cellStyle name="Ispraćena hiperveza" xfId="16" builtinId="9" hidden="1"/>
    <cellStyle name="Ispraćena hiperveza" xfId="18" builtinId="9" hidden="1"/>
    <cellStyle name="Ispraćena hiperveza" xfId="20" builtinId="9" hidden="1"/>
    <cellStyle name="Ispraćena hiperveza" xfId="22" builtinId="9" hidden="1"/>
    <cellStyle name="Ispraćena hiperveza" xfId="24" builtinId="9" hidden="1"/>
    <cellStyle name="Ispraćena hiperveza" xfId="26" builtinId="9" hidden="1"/>
    <cellStyle name="Ispraćena hiperveza" xfId="28" builtinId="9" hidden="1"/>
    <cellStyle name="Ispraćena hiperveza" xfId="30" builtinId="9" hidden="1"/>
    <cellStyle name="Ispraćena hiperveza" xfId="32" builtinId="9" hidden="1"/>
    <cellStyle name="Ispraćena hiperveza" xfId="34" builtinId="9" hidden="1"/>
    <cellStyle name="Ispraćena hiperveza" xfId="36" builtinId="9" hidden="1"/>
    <cellStyle name="Ispraćena hiperveza" xfId="38" builtinId="9" hidden="1"/>
    <cellStyle name="Ispraćena hiperveza" xfId="40" builtinId="9" hidden="1"/>
    <cellStyle name="Ispraćena hiperveza" xfId="42" builtinId="9" hidden="1"/>
    <cellStyle name="Ispraćena hiperveza" xfId="44" builtinId="9" hidden="1"/>
    <cellStyle name="Ispraćena hiperveza" xfId="46" builtinId="9" hidden="1"/>
    <cellStyle name="Ispraćena hiperveza" xfId="48" builtinId="9" hidden="1"/>
    <cellStyle name="Ispraćena hiperveza" xfId="50" builtinId="9" hidden="1"/>
    <cellStyle name="Ispraćena hiperveza" xfId="52" builtinId="9" hidden="1"/>
    <cellStyle name="Ispraćena hiperveza" xfId="54" builtinId="9" hidden="1"/>
    <cellStyle name="Ispraćena hiperveza" xfId="56" builtinId="9" hidden="1"/>
    <cellStyle name="Ispraćena hiperveza" xfId="58" builtinId="9" hidden="1"/>
    <cellStyle name="Ispraćena hiperveza" xfId="60" builtinId="9" hidden="1"/>
    <cellStyle name="Ispraćena hiperveza" xfId="62" builtinId="9" hidden="1"/>
    <cellStyle name="Ispraćena hiperveza" xfId="64" builtinId="9" hidden="1"/>
    <cellStyle name="Ispraćena hiperveza" xfId="66" builtinId="9" hidden="1"/>
    <cellStyle name="Ispraćena hiperveza" xfId="68" builtinId="9" hidden="1"/>
    <cellStyle name="Ispraćena hiperveza" xfId="70" builtinId="9" hidden="1"/>
    <cellStyle name="Ispraćena hiperveza" xfId="72" builtinId="9" hidden="1"/>
    <cellStyle name="Ispraćena hiperveza" xfId="74" builtinId="9" hidden="1"/>
    <cellStyle name="Ispraćena hiperveza" xfId="76" builtinId="9" hidden="1"/>
    <cellStyle name="Ispraćena hiperveza" xfId="78" builtinId="9" hidden="1"/>
    <cellStyle name="Ispraćena hiperveza" xfId="80" builtinId="9" hidden="1"/>
    <cellStyle name="Ispraćena hiperveza" xfId="82" builtinId="9" hidden="1"/>
    <cellStyle name="Ispraćena hiperveza" xfId="84" builtinId="9" hidden="1"/>
    <cellStyle name="Ispraćena hiperveza" xfId="86" builtinId="9" hidden="1"/>
    <cellStyle name="Ispraćena hiperveza" xfId="88" builtinId="9" hidden="1"/>
    <cellStyle name="Ispraćena hiperveza" xfId="90" builtinId="9" hidden="1"/>
    <cellStyle name="Ispraćena hiperveza" xfId="92" builtinId="9" hidden="1"/>
    <cellStyle name="Ispraćena hiperveza" xfId="94" builtinId="9" hidden="1"/>
    <cellStyle name="Ispraćena hiperveza" xfId="96" builtinId="9" hidden="1"/>
    <cellStyle name="Ispraćena hiperveza" xfId="98" builtinId="9" hidden="1"/>
    <cellStyle name="Ispraćena hiperveza" xfId="100" builtinId="9" hidden="1"/>
    <cellStyle name="Ispraćena hiperveza" xfId="102" builtinId="9" hidden="1"/>
    <cellStyle name="Ispraćena hiperveza" xfId="104" builtinId="9" hidden="1"/>
    <cellStyle name="Ispraćena hiperveza" xfId="106" builtinId="9" hidden="1"/>
    <cellStyle name="Ispraćena hiperveza" xfId="108" builtinId="9" hidden="1"/>
    <cellStyle name="Ispraćena hiperveza" xfId="110" builtinId="9" hidden="1"/>
    <cellStyle name="Ispraćena hiperveza" xfId="112" builtinId="9" hidden="1"/>
    <cellStyle name="Ispraćena hiperveza" xfId="114" builtinId="9" hidden="1"/>
    <cellStyle name="Ispraćena hiperveza" xfId="116" builtinId="9" hidden="1"/>
    <cellStyle name="Ispraćena hiperveza" xfId="118" builtinId="9" hidden="1"/>
    <cellStyle name="Ispraćena hiperveza" xfId="120" builtinId="9" hidden="1"/>
    <cellStyle name="Ispraćena hiperveza" xfId="122" builtinId="9" hidden="1"/>
    <cellStyle name="Ispraćena hiperveza" xfId="124" builtinId="9" hidden="1"/>
    <cellStyle name="Ispraćena hiperveza" xfId="126" builtinId="9" hidden="1"/>
    <cellStyle name="Ispraćena hiperveza" xfId="128" builtinId="9" hidden="1"/>
    <cellStyle name="Ispraćena hiperveza" xfId="130" builtinId="9" hidden="1"/>
    <cellStyle name="Ispraćena hiperveza" xfId="132" builtinId="9" hidden="1"/>
    <cellStyle name="Ispraćena hiperveza" xfId="134" builtinId="9" hidden="1"/>
    <cellStyle name="Ispraćena hiperveza" xfId="136" builtinId="9" hidden="1"/>
    <cellStyle name="Ispraćena hiperveza" xfId="138" builtinId="9" hidden="1"/>
    <cellStyle name="Ispraćena hiperveza" xfId="140" builtinId="9" hidden="1"/>
    <cellStyle name="Ispraćena hiperveza" xfId="142" builtinId="9" hidden="1"/>
    <cellStyle name="Ispraćena hiperveza" xfId="144" builtinId="9" hidden="1"/>
    <cellStyle name="Ispraćena hiperveza" xfId="146" builtinId="9" hidden="1"/>
    <cellStyle name="Ispraćena hiperveza" xfId="148" builtinId="9" hidden="1"/>
    <cellStyle name="Ispraćena hiperveza" xfId="150" builtinId="9" hidden="1"/>
    <cellStyle name="Ispraćena hiperveza" xfId="152" builtinId="9" hidden="1"/>
    <cellStyle name="Ispraćena hiperveza" xfId="154" builtinId="9" hidden="1"/>
    <cellStyle name="Ispraćena hiperveza" xfId="156" builtinId="9" hidden="1"/>
    <cellStyle name="Ispraćena hiperveza" xfId="158" builtinId="9" hidden="1"/>
    <cellStyle name="Ispraćena hiperveza" xfId="160" builtinId="9" hidden="1"/>
    <cellStyle name="Ispraćena hiperveza" xfId="162" builtinId="9" hidden="1"/>
    <cellStyle name="Ispraćena hiperveza" xfId="164" builtinId="9" hidden="1"/>
    <cellStyle name="Ispraćena hiperveza" xfId="166" builtinId="9" hidden="1"/>
    <cellStyle name="Ispraćena hiperveza" xfId="168" builtinId="9" hidden="1"/>
    <cellStyle name="Ispraćena hiperveza" xfId="170" builtinId="9" hidden="1"/>
    <cellStyle name="Ispraćena hiperveza" xfId="172" builtinId="9" hidden="1"/>
    <cellStyle name="Ispraćena hiperveza" xfId="174" builtinId="9" hidden="1"/>
    <cellStyle name="Ispraćena hiperveza" xfId="176" builtinId="9" hidden="1"/>
    <cellStyle name="Ispraćena hiperveza" xfId="178" builtinId="9" hidden="1"/>
    <cellStyle name="Ispraćena hiperveza" xfId="180" builtinId="9" hidden="1"/>
    <cellStyle name="Ispraćena hiperveza" xfId="182" builtinId="9" hidden="1"/>
    <cellStyle name="Ispraćena hiperveza" xfId="184" builtinId="9" hidden="1"/>
    <cellStyle name="Ispraćena hiperveza" xfId="186" builtinId="9" hidden="1"/>
    <cellStyle name="Ispraćena hiperveza" xfId="188" builtinId="9" hidden="1"/>
    <cellStyle name="Ispraćena hiperveza" xfId="190" builtinId="9" hidden="1"/>
    <cellStyle name="Ispraćena hiperveza" xfId="192" builtinId="9" hidden="1"/>
    <cellStyle name="Ispraćena hiperveza" xfId="194" builtinId="9" hidden="1"/>
    <cellStyle name="Ispraćena hiperveza" xfId="196" builtinId="9" hidden="1"/>
    <cellStyle name="Ispraćena hiperveza" xfId="198" builtinId="9" hidden="1"/>
    <cellStyle name="Ispraćena hiperveza" xfId="200" builtinId="9" hidden="1"/>
    <cellStyle name="Ispraćena hiperveza" xfId="202" builtinId="9" hidden="1"/>
    <cellStyle name="Ispraćena hiperveza" xfId="204" builtinId="9" hidden="1"/>
    <cellStyle name="Ispraćena hiperveza" xfId="206" builtinId="9" hidden="1"/>
    <cellStyle name="Ispraćena hiperveza" xfId="208" builtinId="9" hidden="1"/>
    <cellStyle name="Ispraćena hiperveza" xfId="210" builtinId="9" hidden="1"/>
    <cellStyle name="Ispraćena hiperveza" xfId="212" builtinId="9" hidden="1"/>
    <cellStyle name="Ispraćena hiperveza" xfId="214" builtinId="9" hidden="1"/>
    <cellStyle name="Ispraćena hiperveza" xfId="216" builtinId="9" hidden="1"/>
    <cellStyle name="Ispraćena hiperveza" xfId="218" builtinId="9" hidden="1"/>
    <cellStyle name="Ispraćena hiperveza" xfId="220" builtinId="9" hidden="1"/>
    <cellStyle name="Ispraćena hiperveza" xfId="222" builtinId="9" hidden="1"/>
    <cellStyle name="Ispraćena hiperveza" xfId="224" builtinId="9" hidden="1"/>
    <cellStyle name="Ispraćena hiperveza" xfId="226" builtinId="9" hidden="1"/>
    <cellStyle name="Ispraćena hiperveza" xfId="228" builtinId="9" hidden="1"/>
    <cellStyle name="Ispraćena hiperveza" xfId="230" builtinId="9" hidden="1"/>
    <cellStyle name="Ispraćena hiperveza" xfId="232" builtinId="9" hidden="1"/>
    <cellStyle name="Ispraćena hiperveza" xfId="234" builtinId="9" hidden="1"/>
    <cellStyle name="Ispraćena hiperveza" xfId="236" builtinId="9" hidden="1"/>
    <cellStyle name="Ispraćena hiperveza" xfId="238" builtinId="9" hidden="1"/>
    <cellStyle name="Ispraćena hiperveza" xfId="240" builtinId="9" hidden="1"/>
    <cellStyle name="Ispraćena hiperveza" xfId="242" builtinId="9" hidden="1"/>
    <cellStyle name="Ispraćena hiperveza" xfId="244" builtinId="9" hidden="1"/>
    <cellStyle name="Ispraćena hiperveza" xfId="246" builtinId="9" hidden="1"/>
    <cellStyle name="Ispraćena hiperveza" xfId="248" builtinId="9" hidden="1"/>
    <cellStyle name="Ispraćena hiperveza" xfId="250" builtinId="9" hidden="1"/>
    <cellStyle name="Ispraćena hiperveza" xfId="252" builtinId="9" hidden="1"/>
    <cellStyle name="Ispraćena hiperveza" xfId="254" builtinId="9" hidden="1"/>
    <cellStyle name="Ispraćena hiperveza" xfId="256" builtinId="9" hidden="1"/>
    <cellStyle name="Ispraćena hiperveza" xfId="258" builtinId="9" hidden="1"/>
    <cellStyle name="Ispraćena hiperveza" xfId="260" builtinId="9" hidden="1"/>
    <cellStyle name="Ispraćena hiperveza" xfId="262" builtinId="9" hidden="1"/>
    <cellStyle name="Ispraćena hiperveza" xfId="264" builtinId="9" hidden="1"/>
    <cellStyle name="Ispraćena hiperveza" xfId="266" builtinId="9" hidden="1"/>
    <cellStyle name="Ispraćena hiperveza" xfId="268" builtinId="9" hidden="1"/>
    <cellStyle name="Ispraćena hiperveza" xfId="270" builtinId="9" hidden="1"/>
    <cellStyle name="Ispraćena hiperveza" xfId="272" builtinId="9" hidden="1"/>
    <cellStyle name="Ispraćena hiperveza" xfId="274" builtinId="9" hidden="1"/>
    <cellStyle name="Ispraćena hiperveza" xfId="276" builtinId="9" hidden="1"/>
    <cellStyle name="Ispraćena hiperveza" xfId="278" builtinId="9" hidden="1"/>
    <cellStyle name="Ispraćena hiperveza" xfId="280" builtinId="9" hidden="1"/>
    <cellStyle name="Ispraćena hiperveza" xfId="282" builtinId="9" hidden="1"/>
    <cellStyle name="Ispraćena hiperveza" xfId="284" builtinId="9" hidden="1"/>
    <cellStyle name="Ispraćena hiperveza" xfId="286" builtinId="9" hidden="1"/>
    <cellStyle name="Ispraćena hiperveza" xfId="288" builtinId="9" hidden="1"/>
    <cellStyle name="Ispraćena hiperveza" xfId="290" builtinId="9" hidden="1"/>
    <cellStyle name="Ispraćena hiperveza" xfId="292" builtinId="9" hidden="1"/>
    <cellStyle name="Ispraćena hiperveza" xfId="294" builtinId="9" hidden="1"/>
    <cellStyle name="Ispraćena hiperveza" xfId="296" builtinId="9" hidden="1"/>
    <cellStyle name="Ispraćena hiperveza" xfId="298" builtinId="9" hidden="1"/>
    <cellStyle name="Ispraćena hiperveza" xfId="300" builtinId="9" hidden="1"/>
    <cellStyle name="Ispraćena hiperveza" xfId="302" builtinId="9" hidden="1"/>
    <cellStyle name="Ispraćena hiperveza" xfId="304" builtinId="9" hidden="1"/>
    <cellStyle name="Ispraćena hiperveza" xfId="306" builtinId="9" hidden="1"/>
    <cellStyle name="Ispraćena hiperveza" xfId="308" builtinId="9" hidden="1"/>
    <cellStyle name="Ispraćena hiperveza" xfId="310" builtinId="9" hidden="1"/>
    <cellStyle name="Ispraćena hiperveza" xfId="312" builtinId="9" hidden="1"/>
    <cellStyle name="Ispraćena hiperveza" xfId="314" builtinId="9" hidden="1"/>
    <cellStyle name="Ispraćena hiperveza" xfId="316" builtinId="9" hidden="1"/>
    <cellStyle name="Ispraćena hiperveza" xfId="318" builtinId="9" hidden="1"/>
    <cellStyle name="Ispraćena hiperveza" xfId="320" builtinId="9" hidden="1"/>
    <cellStyle name="Ispraćena hiperveza" xfId="322" builtinId="9" hidden="1"/>
    <cellStyle name="Ispraćena hiperveza" xfId="324" builtinId="9" hidden="1"/>
    <cellStyle name="Ispraćena hiperveza" xfId="326" builtinId="9" hidden="1"/>
    <cellStyle name="Ispraćena hiperveza" xfId="328" builtinId="9" hidden="1"/>
    <cellStyle name="Ispraćena hiperveza" xfId="330" builtinId="9" hidden="1"/>
    <cellStyle name="Ispraćena hiperveza" xfId="332" builtinId="9" hidden="1"/>
    <cellStyle name="Ispraćena hiperveza" xfId="334" builtinId="9" hidden="1"/>
    <cellStyle name="Ispraćena hiperveza" xfId="336" builtinId="9" hidden="1"/>
    <cellStyle name="Ispraćena hiperveza" xfId="338" builtinId="9" hidden="1"/>
    <cellStyle name="Ispraćena hiperveza" xfId="340" builtinId="9" hidden="1"/>
    <cellStyle name="Ispraćena hiperveza" xfId="342" builtinId="9" hidden="1"/>
    <cellStyle name="Ispraćena hiperveza" xfId="344" builtinId="9" hidden="1"/>
    <cellStyle name="Ispraćena hiperveza" xfId="346" builtinId="9" hidden="1"/>
    <cellStyle name="Ispraćena hiperveza" xfId="348" builtinId="9" hidden="1"/>
    <cellStyle name="Ispraćena hiperveza" xfId="350" builtinId="9" hidden="1"/>
    <cellStyle name="Ispraćena hiperveza" xfId="352" builtinId="9" hidden="1"/>
    <cellStyle name="Ispraćena hiperveza" xfId="354" builtinId="9" hidden="1"/>
    <cellStyle name="Ispraćena hiperveza" xfId="356" builtinId="9" hidden="1"/>
    <cellStyle name="Ispraćena hiperveza" xfId="358" builtinId="9" hidden="1"/>
    <cellStyle name="Ispraćena hiperveza" xfId="360" builtinId="9" hidden="1"/>
    <cellStyle name="Ispraćena hiperveza" xfId="362" builtinId="9" hidden="1"/>
    <cellStyle name="Ispraćena hiperveza" xfId="364" builtinId="9" hidden="1"/>
    <cellStyle name="Ispraćena hiperveza" xfId="366" builtinId="9" hidden="1"/>
    <cellStyle name="Ispraćena hiperveza" xfId="368" builtinId="9" hidden="1"/>
    <cellStyle name="Ispraćena hiperveza" xfId="370" builtinId="9" hidden="1"/>
    <cellStyle name="Ispraćena hiperveza" xfId="372" builtinId="9" hidden="1"/>
    <cellStyle name="Ispraćena hiperveza" xfId="374" builtinId="9" hidden="1"/>
    <cellStyle name="Ispraćena hiperveza" xfId="376" builtinId="9" hidden="1"/>
    <cellStyle name="Ispraćena hiperveza" xfId="378" builtinId="9" hidden="1"/>
    <cellStyle name="Ispraćena hiperveza" xfId="380" builtinId="9" hidden="1"/>
    <cellStyle name="Ispraćena hiperveza" xfId="382" builtinId="9" hidden="1"/>
    <cellStyle name="Ispraćena hiperveza" xfId="384" builtinId="9" hidden="1"/>
    <cellStyle name="Ispraćena hiperveza" xfId="386" builtinId="9" hidden="1"/>
    <cellStyle name="Ispraćena hiperveza" xfId="388" builtinId="9" hidden="1"/>
    <cellStyle name="Ispraćena hiperveza" xfId="390" builtinId="9" hidden="1"/>
    <cellStyle name="Ispraćena hiperveza" xfId="392" builtinId="9" hidden="1"/>
    <cellStyle name="Ispraćena hiperveza" xfId="394" builtinId="9" hidden="1"/>
    <cellStyle name="Ispraćena hiperveza" xfId="396" builtinId="9" hidden="1"/>
    <cellStyle name="Ispraćena hiperveza" xfId="398" builtinId="9" hidden="1"/>
    <cellStyle name="Ispraćena hiperveza" xfId="400" builtinId="9" hidden="1"/>
    <cellStyle name="Ispraćena hiperveza" xfId="402" builtinId="9" hidden="1"/>
    <cellStyle name="Ispraćena hiperveza" xfId="404" builtinId="9" hidden="1"/>
    <cellStyle name="Ispraćena hiperveza" xfId="406" builtinId="9" hidden="1"/>
    <cellStyle name="Ispraćena hiperveza" xfId="408" builtinId="9" hidden="1"/>
    <cellStyle name="Ispraćena hiperveza" xfId="410" builtinId="9" hidden="1"/>
    <cellStyle name="Ispraćena hiperveza" xfId="412" builtinId="9" hidden="1"/>
    <cellStyle name="Ispraćena hiperveza" xfId="414" builtinId="9" hidden="1"/>
    <cellStyle name="Ispraćena hiperveza" xfId="416" builtinId="9" hidden="1"/>
    <cellStyle name="Ispraćena hiperveza" xfId="418" builtinId="9" hidden="1"/>
    <cellStyle name="Ispraćena hiperveza" xfId="420" builtinId="9" hidden="1"/>
    <cellStyle name="Ispraćena hiperveza" xfId="422" builtinId="9" hidden="1"/>
    <cellStyle name="Ispraćena hiperveza" xfId="424" builtinId="9" hidden="1"/>
    <cellStyle name="Ispraćena hiperveza" xfId="426" builtinId="9" hidden="1"/>
    <cellStyle name="Ispraćena hiperveza" xfId="428" builtinId="9" hidden="1"/>
    <cellStyle name="Ispraćena hiperveza" xfId="430" builtinId="9" hidden="1"/>
    <cellStyle name="Ispraćena hiperveza" xfId="432" builtinId="9" hidden="1"/>
    <cellStyle name="Ispraćena hiperveza" xfId="434" builtinId="9" hidden="1"/>
    <cellStyle name="Ispraćena hiperveza" xfId="436" builtinId="9" hidden="1"/>
    <cellStyle name="Ispraćena hiperveza" xfId="438" builtinId="9" hidden="1"/>
    <cellStyle name="Ispraćena hiperveza" xfId="440" builtinId="9" hidden="1"/>
    <cellStyle name="Ispraćena hiperveza" xfId="442" builtinId="9" hidden="1"/>
    <cellStyle name="Ispraćena hiperveza" xfId="444" builtinId="9" hidden="1"/>
    <cellStyle name="Ispraćena hiperveza" xfId="446" builtinId="9" hidden="1"/>
    <cellStyle name="Ispraćena hiperveza" xfId="448" builtinId="9" hidden="1"/>
    <cellStyle name="Ispraćena hiperveza" xfId="450" builtinId="9" hidden="1"/>
    <cellStyle name="Ispraćena hiperveza" xfId="452" builtinId="9" hidden="1"/>
    <cellStyle name="Ispraćena hiperveza" xfId="454" builtinId="9" hidden="1"/>
    <cellStyle name="Ispraćena hiperveza" xfId="456" builtinId="9" hidden="1"/>
    <cellStyle name="Ispraćena hiperveza" xfId="462" builtinId="9" hidden="1"/>
    <cellStyle name="Ispraćena hiperveza" xfId="464" builtinId="9" hidden="1"/>
    <cellStyle name="Ispraćena hiperveza" xfId="466" builtinId="9" hidden="1"/>
    <cellStyle name="Ispraćena hiperveza" xfId="468" builtinId="9" hidden="1"/>
    <cellStyle name="Ispraćena hiperveza" xfId="470" builtinId="9" hidden="1"/>
    <cellStyle name="Ispraćena hiperveza" xfId="472" builtinId="9" hidden="1"/>
    <cellStyle name="Ispraćena hiperveza" xfId="474" builtinId="9" hidden="1"/>
    <cellStyle name="Ispraćena hiperveza" xfId="476" builtinId="9" hidden="1"/>
    <cellStyle name="Ispraćena hiperveza" xfId="478" builtinId="9" hidden="1"/>
    <cellStyle name="Ispraćena hiperveza" xfId="480" builtinId="9" hidden="1"/>
    <cellStyle name="Ispraćena hiperveza" xfId="482" builtinId="9" hidden="1"/>
    <cellStyle name="Ispraćena hiperveza" xfId="484" builtinId="9" hidden="1"/>
    <cellStyle name="Ispraćena hiperveza" xfId="486" builtinId="9" hidden="1"/>
    <cellStyle name="Ispraćena hiperveza" xfId="488" builtinId="9" hidden="1"/>
    <cellStyle name="Ispraćena hiperveza" xfId="490" builtinId="9" hidden="1"/>
    <cellStyle name="Ispraćena hiperveza" xfId="492" builtinId="9" hidden="1"/>
    <cellStyle name="Ispraćena hiperveza" xfId="494" builtinId="9" hidden="1"/>
    <cellStyle name="Ispraćena hiperveza" xfId="496" builtinId="9" hidden="1"/>
    <cellStyle name="Ispraćena hiperveza" xfId="498" builtinId="9" hidden="1"/>
    <cellStyle name="Ispraćena hiperveza" xfId="500" builtinId="9" hidden="1"/>
    <cellStyle name="Ispraćena hiperveza" xfId="502" builtinId="9" hidden="1"/>
    <cellStyle name="Ispraćena hiperveza" xfId="504" builtinId="9" hidden="1"/>
    <cellStyle name="Ispraćena hiperveza" xfId="506" builtinId="9" hidden="1"/>
    <cellStyle name="Ispraćena hiperveza" xfId="508" builtinId="9" hidden="1"/>
    <cellStyle name="Ispraćena hiperveza" xfId="510" builtinId="9" hidden="1"/>
    <cellStyle name="Ispraćena hiperveza" xfId="512" builtinId="9" hidden="1"/>
    <cellStyle name="Ispraćena hiperveza" xfId="514" builtinId="9" hidden="1"/>
    <cellStyle name="Ispraćena hiperveza" xfId="516" builtinId="9" hidden="1"/>
    <cellStyle name="Ispraćena hiperveza" xfId="518" builtinId="9" hidden="1"/>
    <cellStyle name="Ispraćena hiperveza" xfId="520" builtinId="9" hidden="1"/>
    <cellStyle name="Ispraćena hiperveza" xfId="522" builtinId="9" hidden="1"/>
    <cellStyle name="Ispraćena hiperveza" xfId="524" builtinId="9" hidden="1"/>
    <cellStyle name="Ispraćena hiperveza" xfId="526" builtinId="9" hidden="1"/>
    <cellStyle name="Ispraćena hiperveza" xfId="528" builtinId="9" hidden="1"/>
    <cellStyle name="Ispraćena hiperveza" xfId="530" builtinId="9" hidden="1"/>
    <cellStyle name="Ispraćena hiperveza" xfId="532" builtinId="9" hidden="1"/>
    <cellStyle name="Ispraćena hiperveza" xfId="534" builtinId="9" hidden="1"/>
    <cellStyle name="Ispraćena hiperveza" xfId="536" builtinId="9" hidden="1"/>
    <cellStyle name="Ispraćena hiperveza" xfId="538" builtinId="9" hidden="1"/>
    <cellStyle name="Ispraćena hiperveza" xfId="540" builtinId="9" hidden="1"/>
    <cellStyle name="Ispraćena hiperveza" xfId="542" builtinId="9" hidden="1"/>
    <cellStyle name="Ispraćena hiperveza" xfId="544" builtinId="9" hidden="1"/>
    <cellStyle name="Ispraćena hiperveza" xfId="546" builtinId="9" hidden="1"/>
    <cellStyle name="Ispraćena hiperveza" xfId="548" builtinId="9" hidden="1"/>
    <cellStyle name="Ispraćena hiperveza" xfId="550" builtinId="9" hidden="1"/>
    <cellStyle name="Ispraćena hiperveza" xfId="552" builtinId="9" hidden="1"/>
    <cellStyle name="Ispraćena hiperveza" xfId="554" builtinId="9" hidden="1"/>
    <cellStyle name="Ispraćena hiperveza" xfId="556" builtinId="9" hidden="1"/>
    <cellStyle name="Ispraćena hiperveza" xfId="558" builtinId="9" hidden="1"/>
    <cellStyle name="Ispraćena hiperveza" xfId="560" builtinId="9" hidden="1"/>
    <cellStyle name="Ispraćena hiperveza" xfId="562" builtinId="9" hidden="1"/>
    <cellStyle name="Ispraćena hiperveza" xfId="564" builtinId="9" hidden="1"/>
    <cellStyle name="Ispraćena hiperveza" xfId="566" builtinId="9" hidden="1"/>
    <cellStyle name="Ispraćena hiperveza" xfId="568" builtinId="9" hidden="1"/>
    <cellStyle name="Ispraćena hiperveza" xfId="570" builtinId="9" hidden="1"/>
    <cellStyle name="Ispraćena hiperveza" xfId="572" builtinId="9" hidden="1"/>
    <cellStyle name="Ispraćena hiperveza" xfId="574" builtinId="9" hidden="1"/>
    <cellStyle name="Ispraćena hiperveza" xfId="576" builtinId="9" hidden="1"/>
    <cellStyle name="Ispraćena hiperveza" xfId="578" builtinId="9" hidden="1"/>
    <cellStyle name="Ispraćena hiperveza" xfId="580" builtinId="9" hidden="1"/>
    <cellStyle name="Ispraćena hiperveza" xfId="582" builtinId="9" hidden="1"/>
    <cellStyle name="Ispraćena hiperveza" xfId="584" builtinId="9" hidden="1"/>
    <cellStyle name="Ispraćena hiperveza" xfId="586" builtinId="9" hidden="1"/>
    <cellStyle name="Ispraćena hiperveza" xfId="588" builtinId="9" hidden="1"/>
    <cellStyle name="Ispraćena hiperveza" xfId="590" builtinId="9" hidden="1"/>
    <cellStyle name="Ispraćena hiperveza" xfId="592" builtinId="9" hidden="1"/>
    <cellStyle name="Ispraćena hiperveza" xfId="594" builtinId="9" hidden="1"/>
    <cellStyle name="Ispraćena hiperveza" xfId="596" builtinId="9" hidden="1"/>
    <cellStyle name="Ispraćena hiperveza" xfId="598" builtinId="9" hidden="1"/>
    <cellStyle name="Ispraćena hiperveza" xfId="600" builtinId="9" hidden="1"/>
    <cellStyle name="Ispraćena hiperveza" xfId="602" builtinId="9" hidden="1"/>
    <cellStyle name="Ispraćena hiperveza" xfId="604" builtinId="9" hidden="1"/>
    <cellStyle name="Ispraćena hiperveza" xfId="606" builtinId="9" hidden="1"/>
    <cellStyle name="Ispraćena hiperveza" xfId="608" builtinId="9" hidden="1"/>
    <cellStyle name="Ispraćena hiperveza" xfId="610" builtinId="9" hidden="1"/>
    <cellStyle name="Ispraćena hiperveza" xfId="612" builtinId="9" hidden="1"/>
    <cellStyle name="Ispraćena hiperveza" xfId="614" builtinId="9" hidden="1"/>
    <cellStyle name="Ispraćena hiperveza" xfId="616" builtinId="9" hidden="1"/>
    <cellStyle name="Ispraćena hiperveza" xfId="618" builtinId="9" hidden="1"/>
    <cellStyle name="Ispraćena hiperveza" xfId="620" builtinId="9" hidden="1"/>
    <cellStyle name="Ispraćena hiperveza" xfId="622" builtinId="9" hidden="1"/>
    <cellStyle name="Ispraćena hiperveza" xfId="624" builtinId="9" hidden="1"/>
    <cellStyle name="Ispraćena hiperveza" xfId="626" builtinId="9" hidden="1"/>
    <cellStyle name="Ispraćena hiperveza" xfId="628" builtinId="9" hidden="1"/>
    <cellStyle name="Ispraćena hiperveza" xfId="630" builtinId="9" hidden="1"/>
    <cellStyle name="Ispraćena hiperveza" xfId="632" builtinId="9" hidden="1"/>
    <cellStyle name="Ispraćena hiperveza" xfId="634" builtinId="9" hidden="1"/>
    <cellStyle name="Ispraćena hiperveza" xfId="636" builtinId="9" hidden="1"/>
    <cellStyle name="Ispraćena hiperveza" xfId="638" builtinId="9" hidden="1"/>
    <cellStyle name="Ispraćena hiperveza" xfId="640" builtinId="9" hidden="1"/>
    <cellStyle name="Ispraćena hiperveza" xfId="642" builtinId="9" hidden="1"/>
    <cellStyle name="Ispraćena hiperveza" xfId="644" builtinId="9" hidden="1"/>
    <cellStyle name="Ispraćena hiperveza" xfId="646" builtinId="9" hidden="1"/>
    <cellStyle name="Ispraćena hiperveza" xfId="648" builtinId="9" hidden="1"/>
    <cellStyle name="Ispraćena hiperveza" xfId="650" builtinId="9" hidden="1"/>
    <cellStyle name="Ispraćena hiperveza" xfId="652" builtinId="9" hidden="1"/>
    <cellStyle name="Ispraćena hiperveza" xfId="654" builtinId="9" hidden="1"/>
    <cellStyle name="Ispraćena hiperveza" xfId="656" builtinId="9" hidden="1"/>
    <cellStyle name="Ispraćena hiperveza" xfId="658" builtinId="9" hidden="1"/>
    <cellStyle name="Ispraćena hiperveza" xfId="660" builtinId="9" hidden="1"/>
    <cellStyle name="Ispraćena hiperveza" xfId="662" builtinId="9" hidden="1"/>
    <cellStyle name="Ispraćena hiperveza" xfId="664" builtinId="9" hidden="1"/>
    <cellStyle name="Ispraćena hiperveza" xfId="666" builtinId="9" hidden="1"/>
    <cellStyle name="Ispraćena hiperveza" xfId="668" builtinId="9" hidden="1"/>
    <cellStyle name="Ispraćena hiperveza" xfId="670" builtinId="9" hidden="1"/>
    <cellStyle name="Ispraćena hiperveza" xfId="672" builtinId="9" hidden="1"/>
    <cellStyle name="Ispraćena hiperveza" xfId="674" builtinId="9" hidden="1"/>
    <cellStyle name="Ispraćena hiperveza" xfId="676" builtinId="9" hidden="1"/>
    <cellStyle name="Ispraćena hiperveza" xfId="677" builtinId="9" hidden="1"/>
    <cellStyle name="Ispraćena hiperveza" xfId="678" builtinId="9" hidden="1"/>
    <cellStyle name="Ispraćena hiperveza" xfId="679" builtinId="9" hidden="1"/>
    <cellStyle name="Ispraćena hiperveza" xfId="681" builtinId="9" hidden="1"/>
    <cellStyle name="Ispraćena hiperveza" xfId="683" builtinId="9" hidden="1"/>
    <cellStyle name="Ispraćena hiperveza" xfId="685" builtinId="9" hidden="1"/>
    <cellStyle name="Ispraćena hiperveza" xfId="687" builtinId="9" hidden="1"/>
    <cellStyle name="Ispraćena hiperveza" xfId="689" builtinId="9" hidden="1"/>
    <cellStyle name="Ispraćena hiperveza" xfId="691" builtinId="9" hidden="1"/>
    <cellStyle name="Ispraćena hiperveza" xfId="693" builtinId="9" hidden="1"/>
    <cellStyle name="Ispraćena hiperveza" xfId="695" builtinId="9" hidden="1"/>
    <cellStyle name="Ispraćena hiperveza" xfId="697" builtinId="9" hidden="1"/>
    <cellStyle name="Ispraćena hiperveza" xfId="699" builtinId="9" hidden="1"/>
    <cellStyle name="Ispraćena hiperveza" xfId="701" builtinId="9" hidden="1"/>
    <cellStyle name="Ispraćena hiperveza" xfId="703" builtinId="9" hidden="1"/>
    <cellStyle name="Ispraćena hiperveza" xfId="705" builtinId="9" hidden="1"/>
    <cellStyle name="Ispraćena hiperveza" xfId="707" builtinId="9" hidden="1"/>
    <cellStyle name="Ispraćena hiperveza" xfId="709" builtinId="9" hidden="1"/>
    <cellStyle name="Ispraćena hiperveza" xfId="711" builtinId="9" hidden="1"/>
    <cellStyle name="Ispraćena hiperveza" xfId="713" builtinId="9" hidden="1"/>
    <cellStyle name="Ispraćena hiperveza" xfId="715" builtinId="9" hidden="1"/>
    <cellStyle name="Ispraćena hiperveza" xfId="717" builtinId="9" hidden="1"/>
    <cellStyle name="Ispraćena hiperveza" xfId="719" builtinId="9" hidden="1"/>
    <cellStyle name="Ispraćena hiperveza" xfId="721" builtinId="9" hidden="1"/>
    <cellStyle name="Ispraćena hiperveza" xfId="723" builtinId="9" hidden="1"/>
    <cellStyle name="Ispraćena hiperveza" xfId="725" builtinId="9" hidden="1"/>
    <cellStyle name="Ispraćena hiperveza" xfId="727" builtinId="9" hidden="1"/>
    <cellStyle name="Ispraćena hiperveza" xfId="729" builtinId="9" hidden="1"/>
    <cellStyle name="Ispraćena hiperveza" xfId="731" builtinId="9" hidden="1"/>
    <cellStyle name="Ispraćena hiperveza" xfId="733" builtinId="9" hidden="1"/>
    <cellStyle name="Ispraćena hiperveza" xfId="735" builtinId="9" hidden="1"/>
    <cellStyle name="Ispraćena hiperveza" xfId="737" builtinId="9" hidden="1"/>
    <cellStyle name="Ispraćena hiperveza" xfId="739" builtinId="9" hidden="1"/>
    <cellStyle name="Ispraćena hiperveza" xfId="741" builtinId="9" hidden="1"/>
    <cellStyle name="Ispraćena hiperveza" xfId="743" builtinId="9" hidden="1"/>
    <cellStyle name="Ispraćena hiperveza" xfId="745" builtinId="9" hidden="1"/>
    <cellStyle name="Ispraćena hiperveza" xfId="747" builtinId="9" hidden="1"/>
    <cellStyle name="Ispraćena hiperveza" xfId="749" builtinId="9" hidden="1"/>
    <cellStyle name="Ispraćena hiperveza" xfId="751" builtinId="9" hidden="1"/>
    <cellStyle name="Ispraćena hiperveza" xfId="753" builtinId="9" hidden="1"/>
    <cellStyle name="Ispraćena hiperveza" xfId="755" builtinId="9" hidden="1"/>
    <cellStyle name="Ispraćena hiperveza" xfId="757" builtinId="9" hidden="1"/>
    <cellStyle name="Ispraćena hiperveza" xfId="759" builtinId="9" hidden="1"/>
    <cellStyle name="Ispraćena hiperveza" xfId="761" builtinId="9" hidden="1"/>
    <cellStyle name="Ispraćena hiperveza" xfId="763" builtinId="9" hidden="1"/>
    <cellStyle name="Ispraćena hiperveza" xfId="765" builtinId="9" hidden="1"/>
    <cellStyle name="Ispraćena hiperveza" xfId="767" builtinId="9" hidden="1"/>
    <cellStyle name="Ispraćena hiperveza" xfId="769" builtinId="9" hidden="1"/>
    <cellStyle name="Ispraćena hiperveza" xfId="771" builtinId="9" hidden="1"/>
    <cellStyle name="Ispraćena hiperveza" xfId="773" builtinId="9" hidden="1"/>
    <cellStyle name="Ispraćena hiperveza" xfId="775" builtinId="9" hidden="1"/>
    <cellStyle name="Ispraćena hiperveza" xfId="777" builtinId="9" hidden="1"/>
    <cellStyle name="Ispraćena hiperveza" xfId="779" builtinId="9" hidden="1"/>
    <cellStyle name="Ispraćena hiperveza" xfId="781" builtinId="9" hidden="1"/>
    <cellStyle name="Ispraćena hiperveza" xfId="783" builtinId="9" hidden="1"/>
    <cellStyle name="Ispraćena hiperveza" xfId="785" builtinId="9" hidden="1"/>
    <cellStyle name="Ispraćena hiperveza" xfId="787" builtinId="9" hidden="1"/>
    <cellStyle name="Ispraćena hiperveza" xfId="789" builtinId="9" hidden="1"/>
    <cellStyle name="Ispraćena hiperveza" xfId="791" builtinId="9" hidden="1"/>
    <cellStyle name="Ispraćena hiperveza" xfId="793" builtinId="9" hidden="1"/>
    <cellStyle name="Ispraćena hiperveza" xfId="795" builtinId="9" hidden="1"/>
    <cellStyle name="Ispraćena hiperveza" xfId="797" builtinId="9" hidden="1"/>
    <cellStyle name="Ispraćena hiperveza" xfId="799" builtinId="9" hidden="1"/>
    <cellStyle name="Ispraćena hiperveza" xfId="801" builtinId="9" hidden="1"/>
    <cellStyle name="Ispraćena hiperveza" xfId="803" builtinId="9" hidden="1"/>
    <cellStyle name="Ispraćena hiperveza" xfId="805" builtinId="9" hidden="1"/>
    <cellStyle name="Ispraćena hiperveza" xfId="807" builtinId="9" hidden="1"/>
    <cellStyle name="Ispraćena hiperveza" xfId="809" builtinId="9" hidden="1"/>
    <cellStyle name="Ispraćena hiperveza" xfId="811" builtinId="9" hidden="1"/>
    <cellStyle name="Ispraćena hiperveza" xfId="813" builtinId="9" hidden="1"/>
    <cellStyle name="Ispraćena hiperveza" xfId="815" builtinId="9" hidden="1"/>
    <cellStyle name="Ispraćena hiperveza" xfId="817" builtinId="9" hidden="1"/>
    <cellStyle name="Ispraćena hiperveza" xfId="819" builtinId="9" hidden="1"/>
    <cellStyle name="Ispraćena hiperveza" xfId="821" builtinId="9" hidden="1"/>
    <cellStyle name="Ispraćena hiperveza" xfId="823" builtinId="9" hidden="1"/>
    <cellStyle name="Ispraćena hiperveza" xfId="825" builtinId="9" hidden="1"/>
    <cellStyle name="Ispraćena hiperveza" xfId="827" builtinId="9" hidden="1"/>
    <cellStyle name="Ispraćena hiperveza" xfId="829" builtinId="9" hidden="1"/>
    <cellStyle name="Ispraćena hiperveza" xfId="831" builtinId="9" hidden="1"/>
    <cellStyle name="Ispraćena hiperveza" xfId="833" builtinId="9" hidden="1"/>
    <cellStyle name="Ispraćena hiperveza" xfId="835" builtinId="9" hidden="1"/>
    <cellStyle name="Ispraćena hiperveza" xfId="837" builtinId="9" hidden="1"/>
    <cellStyle name="Ispraćena hiperveza" xfId="839" builtinId="9" hidden="1"/>
    <cellStyle name="Ispraćena hiperveza" xfId="841" builtinId="9" hidden="1"/>
    <cellStyle name="Ispraćena hiperveza" xfId="843" builtinId="9" hidden="1"/>
    <cellStyle name="Ispraćena hiperveza" xfId="845" builtinId="9" hidden="1"/>
    <cellStyle name="Ispraćena hiperveza" xfId="847" builtinId="9" hidden="1"/>
    <cellStyle name="Ispraćena hiperveza" xfId="849" builtinId="9" hidden="1"/>
    <cellStyle name="Ispraćena hiperveza" xfId="851" builtinId="9" hidden="1"/>
    <cellStyle name="Ispraćena hiperveza" xfId="853" builtinId="9" hidden="1"/>
    <cellStyle name="Ispraćena hiperveza" xfId="855" builtinId="9" hidden="1"/>
    <cellStyle name="Ispraćena hiperveza" xfId="857" builtinId="9" hidden="1"/>
    <cellStyle name="Ispraćena hiperveza" xfId="859" builtinId="9" hidden="1"/>
    <cellStyle name="Ispraćena hiperveza" xfId="861" builtinId="9" hidden="1"/>
    <cellStyle name="Ispraćena hiperveza" xfId="863" builtinId="9" hidden="1"/>
    <cellStyle name="Ispraćena hiperveza" xfId="865" builtinId="9" hidden="1"/>
    <cellStyle name="Ispraćena hiperveza" xfId="867" builtinId="9" hidden="1"/>
    <cellStyle name="Ispraćena hiperveza" xfId="869" builtinId="9" hidden="1"/>
    <cellStyle name="Ispraćena hiperveza" xfId="871" builtinId="9" hidden="1"/>
    <cellStyle name="Ispraćena hiperveza" xfId="873" builtinId="9" hidden="1"/>
    <cellStyle name="Ispraćena hiperveza" xfId="875" builtinId="9" hidden="1"/>
    <cellStyle name="Ispraćena hiperveza" xfId="877" builtinId="9" hidden="1"/>
    <cellStyle name="Ispraćena hiperveza" xfId="879" builtinId="9" hidden="1"/>
    <cellStyle name="Ispraćena hiperveza" xfId="881" builtinId="9" hidden="1"/>
    <cellStyle name="Ispraćena hiperveza" xfId="883" builtinId="9" hidden="1"/>
    <cellStyle name="Ispraćena hiperveza" xfId="885" builtinId="9" hidden="1"/>
    <cellStyle name="Ispraćena hiperveza" xfId="887" builtinId="9" hidden="1"/>
    <cellStyle name="Ispraćena hiperveza" xfId="889" builtinId="9" hidden="1"/>
    <cellStyle name="Ispraćena hiperveza" xfId="891" builtinId="9" hidden="1"/>
    <cellStyle name="Ispraćena hiperveza" xfId="893" builtinId="9" hidden="1"/>
    <cellStyle name="Ispraćena hiperveza" xfId="895" builtinId="9" hidden="1"/>
    <cellStyle name="Ispraćena hiperveza" xfId="897" builtinId="9" hidden="1"/>
    <cellStyle name="Ispraćena hiperveza" xfId="899" builtinId="9" hidden="1"/>
    <cellStyle name="Ispraćena hiperveza" xfId="901" builtinId="9" hidden="1"/>
    <cellStyle name="Ispraćena hiperveza" xfId="903" builtinId="9" hidden="1"/>
    <cellStyle name="Ispraćena hiperveza" xfId="905" builtinId="9" hidden="1"/>
    <cellStyle name="Ispraćena hiperveza" xfId="907" builtinId="9" hidden="1"/>
    <cellStyle name="Ispraćena hiperveza" xfId="909" builtinId="9" hidden="1"/>
    <cellStyle name="Ispraćena hiperveza" xfId="911" builtinId="9" hidden="1"/>
    <cellStyle name="Ispraćena hiperveza" xfId="913" builtinId="9" hidden="1"/>
    <cellStyle name="Ispraćena hiperveza" xfId="915" builtinId="9" hidden="1"/>
    <cellStyle name="Ispraćena hiperveza" xfId="917" builtinId="9" hidden="1"/>
    <cellStyle name="Ispraćena hiperveza" xfId="919" builtinId="9" hidden="1"/>
    <cellStyle name="Ispraćena hiperveza" xfId="921" builtinId="9" hidden="1"/>
    <cellStyle name="Ispraćena hiperveza" xfId="923" builtinId="9" hidden="1"/>
    <cellStyle name="Ispraćena hiperveza" xfId="925" builtinId="9" hidden="1"/>
    <cellStyle name="Ispraćena hiperveza" xfId="927" builtinId="9" hidden="1"/>
    <cellStyle name="Ispraćena hiperveza" xfId="929" builtinId="9" hidden="1"/>
    <cellStyle name="Ispraćena hiperveza" xfId="931" builtinId="9" hidden="1"/>
    <cellStyle name="Ispraćena hiperveza" xfId="933" builtinId="9" hidden="1"/>
    <cellStyle name="Ispraćena hiperveza" xfId="935" builtinId="9" hidden="1"/>
    <cellStyle name="Ispraćena hiperveza" xfId="937" builtinId="9" hidden="1"/>
    <cellStyle name="Ispraćena hiperveza" xfId="939" builtinId="9" hidden="1"/>
    <cellStyle name="Ispraćena hiperveza" xfId="941" builtinId="9" hidden="1"/>
    <cellStyle name="Ispraćena hiperveza" xfId="943" builtinId="9" hidden="1"/>
    <cellStyle name="Ispraćena hiperveza" xfId="945" builtinId="9" hidden="1"/>
    <cellStyle name="Ispraćena hiperveza" xfId="947" builtinId="9" hidden="1"/>
    <cellStyle name="Ispraćena hiperveza" xfId="949" builtinId="9" hidden="1"/>
    <cellStyle name="Ispraćena hiperveza" xfId="951" builtinId="9" hidden="1"/>
    <cellStyle name="Ispraćena hiperveza" xfId="953" builtinId="9" hidden="1"/>
    <cellStyle name="Loše" xfId="460" builtinId="27"/>
    <cellStyle name="Normal_1" xfId="459" xr:uid="{00000000-0005-0000-0000-0000B8030000}"/>
    <cellStyle name="Normal_UNOS08ust" xfId="458" xr:uid="{00000000-0005-0000-0000-0000B9030000}"/>
    <cellStyle name="Normalan" xfId="0" builtinId="0"/>
    <cellStyle name="Zarez" xfId="457" builtinId="3"/>
  </cellStyles>
  <dxfs count="0"/>
  <tableStyles count="0" defaultTableStyle="TableStyleMedium9" defaultPivotStyle="PivotStyleMedium4"/>
  <colors>
    <mruColors>
      <color rgb="FFFF00FF"/>
      <color rgb="FFFF33CC"/>
      <color rgb="FF00FF00"/>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9"/>
  <sheetViews>
    <sheetView tabSelected="1" view="pageBreakPreview" topLeftCell="A489" zoomScale="85" zoomScaleNormal="85" zoomScaleSheetLayoutView="85" zoomScalePageLayoutView="85" workbookViewId="0">
      <selection activeCell="C514" sqref="C514"/>
    </sheetView>
  </sheetViews>
  <sheetFormatPr defaultColWidth="8.625" defaultRowHeight="15.75" x14ac:dyDescent="0.25"/>
  <cols>
    <col min="1" max="1" width="7.125" style="5" customWidth="1"/>
    <col min="2" max="2" width="5.625" style="6" customWidth="1"/>
    <col min="3" max="3" width="90.375" style="5" customWidth="1"/>
    <col min="4" max="4" width="41.125" style="8" customWidth="1"/>
    <col min="5" max="5" width="17.625" style="50" customWidth="1"/>
    <col min="6" max="6" width="34.875" style="46" customWidth="1"/>
    <col min="7" max="16384" width="8.625" style="1"/>
  </cols>
  <sheetData>
    <row r="1" spans="1:6" x14ac:dyDescent="0.25">
      <c r="A1" s="58"/>
      <c r="B1" s="78"/>
      <c r="C1" s="235" t="s">
        <v>81</v>
      </c>
      <c r="D1" s="235"/>
      <c r="E1" s="235"/>
      <c r="F1" s="57"/>
    </row>
    <row r="2" spans="1:6" x14ac:dyDescent="0.25">
      <c r="C2" s="236" t="s">
        <v>466</v>
      </c>
      <c r="D2" s="236"/>
      <c r="E2" s="236"/>
      <c r="F2" s="144"/>
    </row>
    <row r="3" spans="1:6" x14ac:dyDescent="0.25">
      <c r="A3" s="64"/>
      <c r="C3" s="4" t="s">
        <v>394</v>
      </c>
      <c r="D3" s="209"/>
      <c r="E3" s="46"/>
      <c r="F3" s="144"/>
    </row>
    <row r="4" spans="1:6" x14ac:dyDescent="0.25">
      <c r="A4" s="64"/>
      <c r="D4" s="213" t="s">
        <v>86</v>
      </c>
      <c r="E4" s="214" t="s">
        <v>111</v>
      </c>
      <c r="F4" s="145"/>
    </row>
    <row r="5" spans="1:6" x14ac:dyDescent="0.25">
      <c r="A5" s="64"/>
      <c r="C5" s="6" t="s">
        <v>75</v>
      </c>
      <c r="D5" s="210">
        <f>F33</f>
        <v>869440876.56999993</v>
      </c>
      <c r="E5" s="215">
        <f>+D5/D13</f>
        <v>0.80007295152672941</v>
      </c>
      <c r="F5" s="144"/>
    </row>
    <row r="6" spans="1:6" x14ac:dyDescent="0.25">
      <c r="A6" s="64"/>
      <c r="C6" s="6" t="s">
        <v>118</v>
      </c>
      <c r="D6" s="210">
        <f>F223</f>
        <v>77383123.430000007</v>
      </c>
      <c r="E6" s="215">
        <f>+D6/D13</f>
        <v>7.1209147889669852E-2</v>
      </c>
      <c r="F6" s="144"/>
    </row>
    <row r="7" spans="1:6" x14ac:dyDescent="0.25">
      <c r="A7" s="64"/>
      <c r="C7" s="6" t="s">
        <v>120</v>
      </c>
      <c r="D7" s="210">
        <f>F280</f>
        <v>60160000</v>
      </c>
      <c r="E7" s="215">
        <f>+D7/D13</f>
        <v>5.5360163135799882E-2</v>
      </c>
      <c r="F7" s="144"/>
    </row>
    <row r="8" spans="1:6" x14ac:dyDescent="0.25">
      <c r="A8" s="64"/>
      <c r="C8" s="6" t="s">
        <v>76</v>
      </c>
      <c r="D8" s="210">
        <f>+F440</f>
        <v>14532000</v>
      </c>
      <c r="E8" s="215">
        <f>+D8/D13</f>
        <v>1.3372571321300595E-2</v>
      </c>
      <c r="F8" s="144"/>
    </row>
    <row r="9" spans="1:6" x14ac:dyDescent="0.25">
      <c r="A9" s="64"/>
      <c r="C9" s="6" t="s">
        <v>294</v>
      </c>
      <c r="D9" s="210">
        <f>F322</f>
        <v>3465000</v>
      </c>
      <c r="E9" s="215">
        <f>+D9/D13</f>
        <v>3.1885466300788992E-3</v>
      </c>
      <c r="F9" s="144"/>
    </row>
    <row r="10" spans="1:6" x14ac:dyDescent="0.25">
      <c r="A10" s="64"/>
      <c r="C10" s="6" t="s">
        <v>77</v>
      </c>
      <c r="D10" s="210">
        <f>E497</f>
        <v>61221000</v>
      </c>
      <c r="E10" s="215">
        <f>+D10/D13</f>
        <v>5.6336511757593161E-2</v>
      </c>
      <c r="F10" s="144"/>
    </row>
    <row r="11" spans="1:6" x14ac:dyDescent="0.25">
      <c r="A11" s="64"/>
      <c r="C11" s="6" t="s">
        <v>78</v>
      </c>
      <c r="D11" s="210">
        <f>F497</f>
        <v>500000</v>
      </c>
      <c r="E11" s="215">
        <f>+D11/D13</f>
        <v>4.6010773882812397E-4</v>
      </c>
      <c r="F11" s="144"/>
    </row>
    <row r="12" spans="1:6" x14ac:dyDescent="0.25">
      <c r="A12" s="64"/>
      <c r="B12" s="79"/>
      <c r="C12" s="7"/>
      <c r="D12" s="211"/>
      <c r="E12" s="177"/>
      <c r="F12" s="146"/>
    </row>
    <row r="13" spans="1:6" x14ac:dyDescent="0.25">
      <c r="A13" s="64"/>
      <c r="C13" s="172" t="s">
        <v>85</v>
      </c>
      <c r="D13" s="210">
        <f>SUM(D5:D11)</f>
        <v>1086702000</v>
      </c>
      <c r="E13" s="216">
        <f>SUM(E5:E11)</f>
        <v>0.99999999999999978</v>
      </c>
      <c r="F13" s="147"/>
    </row>
    <row r="14" spans="1:6" ht="19.350000000000001" customHeight="1" x14ac:dyDescent="0.25">
      <c r="A14" s="4"/>
      <c r="B14" s="6">
        <v>1</v>
      </c>
      <c r="C14" s="4" t="s">
        <v>393</v>
      </c>
      <c r="D14" s="166"/>
      <c r="E14" s="46"/>
      <c r="F14" s="66"/>
    </row>
    <row r="15" spans="1:6" s="37" customFormat="1" ht="81.599999999999994" customHeight="1" x14ac:dyDescent="0.25">
      <c r="A15" s="83"/>
      <c r="B15" s="84"/>
      <c r="C15" s="237" t="s">
        <v>458</v>
      </c>
      <c r="D15" s="238"/>
      <c r="E15" s="238"/>
      <c r="F15" s="238"/>
    </row>
    <row r="16" spans="1:6" ht="15.75" customHeight="1" x14ac:dyDescent="0.25">
      <c r="A16" s="85"/>
      <c r="B16" s="81"/>
      <c r="C16" s="129" t="s">
        <v>284</v>
      </c>
      <c r="D16" s="129"/>
      <c r="E16" s="184">
        <v>167440876.56999999</v>
      </c>
      <c r="F16" s="185"/>
    </row>
    <row r="17" spans="1:6" ht="29.45" customHeight="1" x14ac:dyDescent="0.25">
      <c r="A17" s="85"/>
      <c r="B17" s="81"/>
      <c r="C17" s="129" t="s">
        <v>285</v>
      </c>
      <c r="D17" s="129"/>
      <c r="E17" s="186">
        <f>50000000</f>
        <v>50000000</v>
      </c>
      <c r="F17" s="185"/>
    </row>
    <row r="18" spans="1:6" s="62" customFormat="1" x14ac:dyDescent="0.25">
      <c r="A18" s="85"/>
      <c r="B18" s="81"/>
      <c r="C18" s="129" t="s">
        <v>463</v>
      </c>
      <c r="D18" s="129"/>
      <c r="E18" s="186">
        <v>100000000</v>
      </c>
      <c r="F18" s="185"/>
    </row>
    <row r="19" spans="1:6" s="148" customFormat="1" x14ac:dyDescent="0.25">
      <c r="A19" s="85"/>
      <c r="B19" s="80"/>
      <c r="C19" s="129" t="s">
        <v>396</v>
      </c>
      <c r="D19" s="129"/>
      <c r="E19" s="186">
        <f>70000000-0</f>
        <v>70000000</v>
      </c>
      <c r="F19" s="187"/>
    </row>
    <row r="20" spans="1:6" x14ac:dyDescent="0.25">
      <c r="A20" s="85"/>
      <c r="B20" s="81"/>
      <c r="C20" s="129" t="s">
        <v>286</v>
      </c>
      <c r="D20" s="129"/>
      <c r="E20" s="184">
        <v>10000000</v>
      </c>
      <c r="F20" s="185"/>
    </row>
    <row r="21" spans="1:6" x14ac:dyDescent="0.25">
      <c r="A21" s="85"/>
      <c r="B21" s="81"/>
      <c r="C21" s="129" t="s">
        <v>287</v>
      </c>
      <c r="D21" s="129"/>
      <c r="E21" s="186">
        <v>10000000</v>
      </c>
      <c r="F21" s="185"/>
    </row>
    <row r="22" spans="1:6" x14ac:dyDescent="0.25">
      <c r="A22" s="85"/>
      <c r="B22" s="81"/>
      <c r="C22" s="188" t="s">
        <v>395</v>
      </c>
      <c r="D22" s="188"/>
      <c r="E22" s="186">
        <v>50000000</v>
      </c>
      <c r="F22" s="185"/>
    </row>
    <row r="23" spans="1:6" x14ac:dyDescent="0.25">
      <c r="A23" s="85"/>
      <c r="B23" s="81"/>
      <c r="C23" s="128" t="s">
        <v>288</v>
      </c>
      <c r="D23" s="128"/>
      <c r="E23" s="186">
        <v>15000000</v>
      </c>
      <c r="F23" s="185"/>
    </row>
    <row r="24" spans="1:6" x14ac:dyDescent="0.25">
      <c r="A24" s="85"/>
      <c r="B24" s="81"/>
      <c r="C24" s="129" t="s">
        <v>289</v>
      </c>
      <c r="D24" s="129"/>
      <c r="E24" s="186">
        <v>15000000</v>
      </c>
      <c r="F24" s="185"/>
    </row>
    <row r="25" spans="1:6" x14ac:dyDescent="0.25">
      <c r="A25" s="85"/>
      <c r="B25" s="81"/>
      <c r="C25" s="129" t="s">
        <v>290</v>
      </c>
      <c r="D25" s="129"/>
      <c r="E25" s="184">
        <v>10000000</v>
      </c>
      <c r="F25" s="185"/>
    </row>
    <row r="26" spans="1:6" ht="31.5" x14ac:dyDescent="0.25">
      <c r="A26" s="85"/>
      <c r="B26" s="81"/>
      <c r="C26" s="137" t="s">
        <v>453</v>
      </c>
      <c r="D26" s="137"/>
      <c r="E26" s="186">
        <v>9000000</v>
      </c>
      <c r="F26" s="185"/>
    </row>
    <row r="27" spans="1:6" x14ac:dyDescent="0.25">
      <c r="A27" s="85"/>
      <c r="B27" s="81"/>
      <c r="C27" s="129" t="s">
        <v>291</v>
      </c>
      <c r="D27" s="129"/>
      <c r="E27" s="186">
        <v>100000000</v>
      </c>
      <c r="F27" s="185"/>
    </row>
    <row r="28" spans="1:6" ht="21.75" customHeight="1" x14ac:dyDescent="0.25">
      <c r="A28" s="85"/>
      <c r="B28" s="81"/>
      <c r="C28" s="129" t="s">
        <v>292</v>
      </c>
      <c r="D28" s="129"/>
      <c r="E28" s="184">
        <v>10000000</v>
      </c>
      <c r="F28" s="185"/>
    </row>
    <row r="29" spans="1:6" s="62" customFormat="1" x14ac:dyDescent="0.25">
      <c r="A29" s="85"/>
      <c r="B29" s="81"/>
      <c r="C29" s="189" t="s">
        <v>157</v>
      </c>
      <c r="D29" s="189"/>
      <c r="E29" s="186">
        <v>5000000</v>
      </c>
      <c r="F29" s="187"/>
    </row>
    <row r="30" spans="1:6" ht="47.25" x14ac:dyDescent="0.25">
      <c r="A30" s="85"/>
      <c r="B30" s="81"/>
      <c r="C30" s="189" t="s">
        <v>293</v>
      </c>
      <c r="D30" s="189"/>
      <c r="E30" s="186">
        <f>14500000</f>
        <v>14500000</v>
      </c>
      <c r="F30" s="185"/>
    </row>
    <row r="31" spans="1:6" ht="19.7" customHeight="1" x14ac:dyDescent="0.25">
      <c r="A31" s="85"/>
      <c r="B31" s="81"/>
      <c r="C31" s="43" t="s">
        <v>459</v>
      </c>
      <c r="D31" s="96"/>
      <c r="E31" s="38">
        <v>233500000</v>
      </c>
      <c r="F31" s="95"/>
    </row>
    <row r="32" spans="1:6" x14ac:dyDescent="0.25">
      <c r="A32" s="64"/>
      <c r="B32" s="53"/>
      <c r="C32" s="68"/>
      <c r="D32" s="98"/>
      <c r="E32" s="99"/>
      <c r="F32" s="70"/>
    </row>
    <row r="33" spans="1:6" x14ac:dyDescent="0.25">
      <c r="A33" s="64"/>
      <c r="B33" s="67"/>
      <c r="C33" s="64"/>
      <c r="D33" s="16" t="s">
        <v>79</v>
      </c>
      <c r="E33" s="47"/>
      <c r="F33" s="48">
        <f>SUM(E16:E31)</f>
        <v>869440876.56999993</v>
      </c>
    </row>
    <row r="34" spans="1:6" x14ac:dyDescent="0.25">
      <c r="B34" s="6">
        <v>2</v>
      </c>
      <c r="C34" s="17" t="s">
        <v>118</v>
      </c>
      <c r="E34" s="21"/>
      <c r="F34" s="21"/>
    </row>
    <row r="35" spans="1:6" x14ac:dyDescent="0.25">
      <c r="C35" s="17"/>
      <c r="E35" s="21"/>
      <c r="F35" s="21"/>
    </row>
    <row r="36" spans="1:6" x14ac:dyDescent="0.25">
      <c r="B36" s="6" t="s">
        <v>124</v>
      </c>
      <c r="C36" s="28" t="s">
        <v>1</v>
      </c>
      <c r="E36" s="21"/>
      <c r="F36" s="21"/>
    </row>
    <row r="37" spans="1:6" ht="33" customHeight="1" x14ac:dyDescent="0.25">
      <c r="B37" s="79"/>
      <c r="C37" s="239" t="s">
        <v>113</v>
      </c>
      <c r="D37" s="239"/>
      <c r="E37" s="239"/>
      <c r="F37" s="239"/>
    </row>
    <row r="38" spans="1:6" ht="19.350000000000001" customHeight="1" x14ac:dyDescent="0.25">
      <c r="A38" s="27"/>
      <c r="B38" s="80"/>
      <c r="C38" s="20" t="s">
        <v>16</v>
      </c>
      <c r="D38" s="32"/>
      <c r="E38" s="30">
        <v>120000</v>
      </c>
      <c r="F38" s="31"/>
    </row>
    <row r="39" spans="1:6" x14ac:dyDescent="0.25">
      <c r="C39" s="18" t="s">
        <v>0</v>
      </c>
      <c r="E39" s="21"/>
      <c r="F39" s="12">
        <f>SUM(E38)</f>
        <v>120000</v>
      </c>
    </row>
    <row r="40" spans="1:6" x14ac:dyDescent="0.25">
      <c r="B40" s="79"/>
      <c r="C40" s="13"/>
      <c r="D40" s="14"/>
      <c r="E40" s="19"/>
      <c r="F40" s="15"/>
    </row>
    <row r="41" spans="1:6" x14ac:dyDescent="0.25">
      <c r="B41" s="6" t="s">
        <v>125</v>
      </c>
      <c r="C41" s="228" t="s">
        <v>99</v>
      </c>
      <c r="D41" s="228"/>
      <c r="E41" s="21"/>
      <c r="F41" s="21"/>
    </row>
    <row r="42" spans="1:6" ht="224.1" customHeight="1" x14ac:dyDescent="0.25">
      <c r="B42" s="79"/>
      <c r="C42" s="224" t="s">
        <v>336</v>
      </c>
      <c r="D42" s="224"/>
      <c r="E42" s="224"/>
      <c r="F42" s="224"/>
    </row>
    <row r="43" spans="1:6" s="2" customFormat="1" x14ac:dyDescent="0.25">
      <c r="A43" s="27"/>
      <c r="B43" s="81"/>
      <c r="C43" s="20" t="s">
        <v>337</v>
      </c>
      <c r="D43" s="32"/>
      <c r="E43" s="30">
        <v>2000000</v>
      </c>
      <c r="F43" s="89"/>
    </row>
    <row r="44" spans="1:6" s="2" customFormat="1" x14ac:dyDescent="0.25">
      <c r="A44" s="27"/>
      <c r="B44" s="81"/>
      <c r="C44" s="20" t="s">
        <v>14</v>
      </c>
      <c r="D44" s="32"/>
      <c r="E44" s="30">
        <v>2000000</v>
      </c>
      <c r="F44" s="89"/>
    </row>
    <row r="45" spans="1:6" s="2" customFormat="1" x14ac:dyDescent="0.25">
      <c r="A45" s="27"/>
      <c r="B45" s="81"/>
      <c r="C45" s="20" t="s">
        <v>202</v>
      </c>
      <c r="D45" s="32"/>
      <c r="E45" s="30">
        <v>10000000</v>
      </c>
      <c r="F45" s="36"/>
    </row>
    <row r="46" spans="1:6" s="2" customFormat="1" x14ac:dyDescent="0.25">
      <c r="A46" s="27"/>
      <c r="B46" s="81"/>
      <c r="C46" s="20" t="s">
        <v>13</v>
      </c>
      <c r="D46" s="32"/>
      <c r="E46" s="30">
        <v>1000000</v>
      </c>
      <c r="F46" s="31"/>
    </row>
    <row r="47" spans="1:6" s="2" customFormat="1" x14ac:dyDescent="0.25">
      <c r="A47" s="27"/>
      <c r="B47" s="81"/>
      <c r="C47" s="20" t="s">
        <v>203</v>
      </c>
      <c r="D47" s="32"/>
      <c r="E47" s="30">
        <v>10000000</v>
      </c>
      <c r="F47" s="31"/>
    </row>
    <row r="48" spans="1:6" s="2" customFormat="1" x14ac:dyDescent="0.25">
      <c r="A48" s="27"/>
      <c r="B48" s="81"/>
      <c r="C48" s="20" t="s">
        <v>17</v>
      </c>
      <c r="D48" s="29"/>
      <c r="E48" s="30">
        <v>200000</v>
      </c>
      <c r="F48" s="90"/>
    </row>
    <row r="49" spans="1:6" s="2" customFormat="1" x14ac:dyDescent="0.25">
      <c r="A49" s="27"/>
      <c r="B49" s="81"/>
      <c r="C49" s="20" t="s">
        <v>15</v>
      </c>
      <c r="D49" s="20"/>
      <c r="E49" s="30">
        <v>200000</v>
      </c>
      <c r="F49" s="89"/>
    </row>
    <row r="50" spans="1:6" x14ac:dyDescent="0.25">
      <c r="A50" s="27"/>
      <c r="B50" s="80"/>
      <c r="C50" s="33" t="s">
        <v>0</v>
      </c>
      <c r="D50" s="32"/>
      <c r="E50" s="31"/>
      <c r="F50" s="35">
        <f>SUM(E43:E49)</f>
        <v>25400000</v>
      </c>
    </row>
    <row r="51" spans="1:6" x14ac:dyDescent="0.25">
      <c r="B51" s="79"/>
      <c r="C51" s="13"/>
      <c r="D51" s="14"/>
      <c r="E51" s="19"/>
      <c r="F51" s="15"/>
    </row>
    <row r="52" spans="1:6" ht="22.35" customHeight="1" x14ac:dyDescent="0.25">
      <c r="B52" s="6" t="s">
        <v>126</v>
      </c>
      <c r="C52" s="28" t="s">
        <v>88</v>
      </c>
      <c r="E52" s="21"/>
      <c r="F52" s="21"/>
    </row>
    <row r="53" spans="1:6" s="2" customFormat="1" ht="71.099999999999994" customHeight="1" x14ac:dyDescent="0.25">
      <c r="A53" s="27"/>
      <c r="B53" s="63"/>
      <c r="C53" s="229" t="s">
        <v>159</v>
      </c>
      <c r="D53" s="229"/>
      <c r="E53" s="229"/>
      <c r="F53" s="240"/>
    </row>
    <row r="54" spans="1:6" ht="19.5" customHeight="1" x14ac:dyDescent="0.25">
      <c r="B54" s="81"/>
      <c r="C54" s="20" t="s">
        <v>89</v>
      </c>
      <c r="D54" s="20" t="s">
        <v>243</v>
      </c>
      <c r="E54" s="30">
        <f>SUM(5000*120)</f>
        <v>600000</v>
      </c>
      <c r="F54" s="52"/>
    </row>
    <row r="55" spans="1:6" ht="17.850000000000001" customHeight="1" x14ac:dyDescent="0.25">
      <c r="B55" s="81"/>
      <c r="C55" s="20" t="s">
        <v>14</v>
      </c>
      <c r="D55" s="20" t="s">
        <v>204</v>
      </c>
      <c r="E55" s="30">
        <f>120*2*3*120</f>
        <v>86400</v>
      </c>
      <c r="F55" s="89"/>
    </row>
    <row r="56" spans="1:6" s="2" customFormat="1" ht="18" customHeight="1" x14ac:dyDescent="0.25">
      <c r="A56" s="27"/>
      <c r="B56" s="81"/>
      <c r="C56" s="20" t="s">
        <v>95</v>
      </c>
      <c r="D56" s="20" t="s">
        <v>171</v>
      </c>
      <c r="E56" s="30">
        <v>120000</v>
      </c>
      <c r="F56" s="93"/>
    </row>
    <row r="57" spans="1:6" s="2" customFormat="1" ht="18" customHeight="1" x14ac:dyDescent="0.25">
      <c r="A57" s="27"/>
      <c r="B57" s="81"/>
      <c r="C57" s="20" t="s">
        <v>338</v>
      </c>
      <c r="D57" s="20" t="s">
        <v>205</v>
      </c>
      <c r="E57" s="31">
        <f>SUM(30000*2)</f>
        <v>60000</v>
      </c>
      <c r="F57" s="89"/>
    </row>
    <row r="58" spans="1:6" s="2" customFormat="1" x14ac:dyDescent="0.25">
      <c r="A58" s="27"/>
      <c r="B58" s="81"/>
      <c r="C58" s="20" t="s">
        <v>60</v>
      </c>
      <c r="D58" s="20" t="s">
        <v>146</v>
      </c>
      <c r="E58" s="31">
        <v>0</v>
      </c>
      <c r="F58" s="31"/>
    </row>
    <row r="59" spans="1:6" s="2" customFormat="1" x14ac:dyDescent="0.25">
      <c r="A59" s="27"/>
      <c r="B59" s="81"/>
      <c r="C59" s="32" t="s">
        <v>100</v>
      </c>
      <c r="D59" s="32" t="s">
        <v>199</v>
      </c>
      <c r="E59" s="30">
        <f>SUM(15*3*3*120)</f>
        <v>16200</v>
      </c>
      <c r="F59" s="89"/>
    </row>
    <row r="60" spans="1:6" s="2" customFormat="1" x14ac:dyDescent="0.25">
      <c r="A60" s="27"/>
      <c r="B60" s="80"/>
      <c r="C60" s="33" t="s">
        <v>0</v>
      </c>
      <c r="D60" s="32"/>
      <c r="E60" s="31"/>
      <c r="F60" s="35">
        <f>SUM(E54:E59)</f>
        <v>882600</v>
      </c>
    </row>
    <row r="61" spans="1:6" s="2" customFormat="1" x14ac:dyDescent="0.25">
      <c r="A61" s="27"/>
      <c r="B61" s="63"/>
      <c r="C61" s="13"/>
      <c r="D61" s="14"/>
      <c r="E61" s="19"/>
      <c r="F61" s="15"/>
    </row>
    <row r="62" spans="1:6" s="2" customFormat="1" ht="15" customHeight="1" x14ac:dyDescent="0.25">
      <c r="A62" s="59"/>
      <c r="B62" s="6" t="s">
        <v>127</v>
      </c>
      <c r="C62" s="28" t="s">
        <v>23</v>
      </c>
      <c r="D62" s="8"/>
      <c r="E62" s="21"/>
      <c r="F62" s="21"/>
    </row>
    <row r="63" spans="1:6" ht="54.95" customHeight="1" x14ac:dyDescent="0.25">
      <c r="A63" s="27"/>
      <c r="B63" s="63"/>
      <c r="C63" s="222" t="s">
        <v>335</v>
      </c>
      <c r="D63" s="222"/>
      <c r="E63" s="222"/>
      <c r="F63" s="222"/>
    </row>
    <row r="64" spans="1:6" s="2" customFormat="1" x14ac:dyDescent="0.25">
      <c r="A64" s="27"/>
      <c r="B64" s="43"/>
      <c r="C64" s="26" t="s">
        <v>301</v>
      </c>
      <c r="D64" s="35">
        <f>SUM(E65:E65)</f>
        <v>180000</v>
      </c>
      <c r="E64" s="43"/>
      <c r="F64" s="43"/>
    </row>
    <row r="65" spans="1:6" s="2" customFormat="1" x14ac:dyDescent="0.25">
      <c r="A65" s="27"/>
      <c r="B65" s="43"/>
      <c r="C65" s="51" t="s">
        <v>143</v>
      </c>
      <c r="D65" s="51" t="s">
        <v>207</v>
      </c>
      <c r="E65" s="38">
        <v>180000</v>
      </c>
      <c r="F65" s="34"/>
    </row>
    <row r="66" spans="1:6" s="2" customFormat="1" x14ac:dyDescent="0.25">
      <c r="A66" s="27"/>
      <c r="B66" s="80"/>
      <c r="C66" s="39" t="s">
        <v>300</v>
      </c>
      <c r="D66" s="41">
        <f>SUM(E67:E72)</f>
        <v>2798400</v>
      </c>
      <c r="E66" s="38"/>
      <c r="F66" s="43"/>
    </row>
    <row r="67" spans="1:6" s="2" customFormat="1" x14ac:dyDescent="0.25">
      <c r="A67" s="27"/>
      <c r="B67" s="43"/>
      <c r="C67" s="51" t="s">
        <v>208</v>
      </c>
      <c r="D67" s="51" t="s">
        <v>179</v>
      </c>
      <c r="E67" s="38">
        <f>10000*120</f>
        <v>1200000</v>
      </c>
      <c r="F67" s="43"/>
    </row>
    <row r="68" spans="1:6" s="2" customFormat="1" x14ac:dyDescent="0.25">
      <c r="A68" s="27"/>
      <c r="B68" s="81"/>
      <c r="C68" s="20" t="s">
        <v>114</v>
      </c>
      <c r="D68" s="40" t="s">
        <v>209</v>
      </c>
      <c r="E68" s="30">
        <f>SUM(70000*6)</f>
        <v>420000</v>
      </c>
      <c r="F68" s="36"/>
    </row>
    <row r="69" spans="1:6" s="2" customFormat="1" x14ac:dyDescent="0.25">
      <c r="A69" s="27"/>
      <c r="B69" s="81"/>
      <c r="C69" s="20" t="s">
        <v>168</v>
      </c>
      <c r="D69" s="20" t="s">
        <v>190</v>
      </c>
      <c r="E69" s="30">
        <f>SUM(8000*120)</f>
        <v>960000</v>
      </c>
      <c r="F69" s="36"/>
    </row>
    <row r="70" spans="1:6" ht="17.100000000000001" customHeight="1" x14ac:dyDescent="0.25">
      <c r="B70" s="81"/>
      <c r="C70" s="27" t="s">
        <v>144</v>
      </c>
      <c r="D70" s="27" t="s">
        <v>169</v>
      </c>
      <c r="E70" s="38">
        <f>700*120</f>
        <v>84000</v>
      </c>
      <c r="F70" s="31"/>
    </row>
    <row r="71" spans="1:6" x14ac:dyDescent="0.25">
      <c r="B71" s="81"/>
      <c r="C71" s="27" t="s">
        <v>145</v>
      </c>
      <c r="D71" s="27" t="s">
        <v>170</v>
      </c>
      <c r="E71" s="38">
        <f>400*120</f>
        <v>48000</v>
      </c>
      <c r="F71" s="31"/>
    </row>
    <row r="72" spans="1:6" ht="17.100000000000001" customHeight="1" x14ac:dyDescent="0.25">
      <c r="B72" s="43"/>
      <c r="C72" s="51" t="s">
        <v>6</v>
      </c>
      <c r="D72" s="51" t="s">
        <v>210</v>
      </c>
      <c r="E72" s="38">
        <f>SUM(15*6*8*120)</f>
        <v>86400</v>
      </c>
      <c r="F72" s="43"/>
    </row>
    <row r="73" spans="1:6" ht="16.5" customHeight="1" x14ac:dyDescent="0.25">
      <c r="A73" s="230" t="s">
        <v>0</v>
      </c>
      <c r="B73" s="231"/>
      <c r="C73" s="231"/>
      <c r="D73" s="10"/>
      <c r="E73" s="21"/>
      <c r="F73" s="12">
        <f>D64+D66</f>
        <v>2978400</v>
      </c>
    </row>
    <row r="74" spans="1:6" s="2" customFormat="1" ht="17.100000000000001" customHeight="1" x14ac:dyDescent="0.25">
      <c r="A74" s="27"/>
      <c r="B74" s="63"/>
      <c r="C74" s="13"/>
      <c r="D74" s="14"/>
      <c r="E74" s="19"/>
      <c r="F74" s="15"/>
    </row>
    <row r="75" spans="1:6" s="2" customFormat="1" ht="17.100000000000001" customHeight="1" x14ac:dyDescent="0.25">
      <c r="A75" s="27"/>
      <c r="B75" s="6" t="s">
        <v>129</v>
      </c>
      <c r="C75" s="28" t="s">
        <v>22</v>
      </c>
      <c r="D75" s="8"/>
      <c r="E75" s="21"/>
      <c r="F75" s="21"/>
    </row>
    <row r="76" spans="1:6" s="2" customFormat="1" ht="39.950000000000003" customHeight="1" x14ac:dyDescent="0.25">
      <c r="A76" s="27"/>
      <c r="B76" s="63"/>
      <c r="C76" s="220" t="s">
        <v>304</v>
      </c>
      <c r="D76" s="220"/>
      <c r="E76" s="220"/>
      <c r="F76" s="221"/>
    </row>
    <row r="77" spans="1:6" s="2" customFormat="1" ht="17.100000000000001" customHeight="1" x14ac:dyDescent="0.25">
      <c r="A77" s="27"/>
      <c r="B77" s="80"/>
      <c r="C77" s="20" t="s">
        <v>109</v>
      </c>
      <c r="D77" s="20" t="s">
        <v>302</v>
      </c>
      <c r="E77" s="30">
        <f>17000*120</f>
        <v>2040000</v>
      </c>
      <c r="F77" s="31"/>
    </row>
    <row r="78" spans="1:6" s="2" customFormat="1" ht="17.100000000000001" customHeight="1" x14ac:dyDescent="0.25">
      <c r="A78" s="27"/>
      <c r="B78" s="81"/>
      <c r="C78" s="20" t="s">
        <v>2</v>
      </c>
      <c r="D78" s="20" t="s">
        <v>212</v>
      </c>
      <c r="E78" s="30">
        <f>500*120</f>
        <v>60000</v>
      </c>
      <c r="F78" s="31"/>
    </row>
    <row r="79" spans="1:6" s="2" customFormat="1" ht="17.100000000000001" customHeight="1" x14ac:dyDescent="0.25">
      <c r="A79" s="27"/>
      <c r="B79" s="81"/>
      <c r="C79" s="32" t="s">
        <v>18</v>
      </c>
      <c r="D79" s="55" t="s">
        <v>213</v>
      </c>
      <c r="E79" s="31">
        <v>60000</v>
      </c>
      <c r="F79" s="31"/>
    </row>
    <row r="80" spans="1:6" ht="17.100000000000001" customHeight="1" x14ac:dyDescent="0.25">
      <c r="A80" s="27"/>
      <c r="B80" s="81"/>
      <c r="C80" s="51" t="s">
        <v>158</v>
      </c>
      <c r="D80" s="40" t="s">
        <v>214</v>
      </c>
      <c r="E80" s="30">
        <v>300000</v>
      </c>
      <c r="F80" s="31"/>
    </row>
    <row r="81" spans="1:6" s="2" customFormat="1" ht="17.100000000000001" customHeight="1" x14ac:dyDescent="0.25">
      <c r="A81" s="27"/>
      <c r="B81" s="81"/>
      <c r="C81" s="20" t="s">
        <v>3</v>
      </c>
      <c r="D81" s="20" t="s">
        <v>215</v>
      </c>
      <c r="E81" s="30">
        <f>SUM(15*8*8*120)</f>
        <v>115200</v>
      </c>
      <c r="F81" s="36"/>
    </row>
    <row r="82" spans="1:6" s="2" customFormat="1" ht="17.100000000000001" customHeight="1" x14ac:dyDescent="0.25">
      <c r="A82" s="27"/>
      <c r="B82" s="81"/>
      <c r="C82" s="20" t="s">
        <v>4</v>
      </c>
      <c r="D82" s="20" t="s">
        <v>211</v>
      </c>
      <c r="E82" s="30">
        <f>SUM(15000*120)</f>
        <v>1800000</v>
      </c>
      <c r="F82" s="36"/>
    </row>
    <row r="83" spans="1:6" s="2" customFormat="1" ht="17.100000000000001" customHeight="1" x14ac:dyDescent="0.25">
      <c r="A83" s="27"/>
      <c r="B83" s="81"/>
      <c r="C83" s="20" t="s">
        <v>216</v>
      </c>
      <c r="D83" s="20" t="s">
        <v>217</v>
      </c>
      <c r="E83" s="30">
        <f>SUM(80000*8)</f>
        <v>640000</v>
      </c>
      <c r="F83" s="36"/>
    </row>
    <row r="84" spans="1:6" s="2" customFormat="1" ht="17.100000000000001" customHeight="1" x14ac:dyDescent="0.25">
      <c r="A84" s="27"/>
      <c r="B84" s="81"/>
      <c r="C84" s="20" t="s">
        <v>5</v>
      </c>
      <c r="D84" s="20" t="s">
        <v>218</v>
      </c>
      <c r="E84" s="30">
        <f>17000*6</f>
        <v>102000</v>
      </c>
      <c r="F84" s="31"/>
    </row>
    <row r="85" spans="1:6" s="2" customFormat="1" ht="17.100000000000001" customHeight="1" x14ac:dyDescent="0.25">
      <c r="A85" s="27"/>
      <c r="B85" s="81"/>
      <c r="C85" s="20" t="s">
        <v>110</v>
      </c>
      <c r="D85" s="20" t="s">
        <v>207</v>
      </c>
      <c r="E85" s="30">
        <v>240000</v>
      </c>
      <c r="F85" s="31"/>
    </row>
    <row r="86" spans="1:6" ht="17.100000000000001" customHeight="1" x14ac:dyDescent="0.25">
      <c r="A86" s="27"/>
      <c r="B86" s="81"/>
      <c r="C86" s="20" t="s">
        <v>303</v>
      </c>
      <c r="D86" s="20" t="s">
        <v>214</v>
      </c>
      <c r="E86" s="30">
        <v>300000</v>
      </c>
      <c r="F86" s="31"/>
    </row>
    <row r="87" spans="1:6" x14ac:dyDescent="0.25">
      <c r="A87" s="27"/>
      <c r="B87" s="81"/>
      <c r="C87" s="51" t="s">
        <v>206</v>
      </c>
      <c r="D87" s="42" t="s">
        <v>219</v>
      </c>
      <c r="E87" s="30">
        <v>2000000</v>
      </c>
      <c r="F87" s="52"/>
    </row>
    <row r="88" spans="1:6" x14ac:dyDescent="0.25">
      <c r="A88" s="230" t="s">
        <v>0</v>
      </c>
      <c r="B88" s="231"/>
      <c r="C88" s="231"/>
      <c r="E88" s="21"/>
      <c r="F88" s="12">
        <f>SUM(E77:E87)</f>
        <v>7657200</v>
      </c>
    </row>
    <row r="89" spans="1:6" ht="18.75" customHeight="1" x14ac:dyDescent="0.25">
      <c r="A89" s="71"/>
      <c r="B89" s="63"/>
      <c r="C89" s="13"/>
      <c r="D89" s="14"/>
      <c r="E89" s="19"/>
      <c r="F89" s="15"/>
    </row>
    <row r="90" spans="1:6" s="2" customFormat="1" ht="20.25" customHeight="1" x14ac:dyDescent="0.25">
      <c r="A90" s="72"/>
      <c r="B90" s="6" t="s">
        <v>128</v>
      </c>
      <c r="C90" s="28" t="s">
        <v>220</v>
      </c>
      <c r="D90" s="8"/>
      <c r="E90" s="21"/>
      <c r="F90" s="21"/>
    </row>
    <row r="91" spans="1:6" s="2" customFormat="1" ht="86.1" customHeight="1" x14ac:dyDescent="0.25">
      <c r="A91" s="72"/>
      <c r="B91" s="63"/>
      <c r="C91" s="229" t="s">
        <v>339</v>
      </c>
      <c r="D91" s="229"/>
      <c r="E91" s="229"/>
      <c r="F91" s="232"/>
    </row>
    <row r="92" spans="1:6" s="2" customFormat="1" x14ac:dyDescent="0.25">
      <c r="A92" s="27"/>
      <c r="B92" s="81"/>
      <c r="C92" s="45" t="s">
        <v>160</v>
      </c>
      <c r="D92" s="109" t="s">
        <v>377</v>
      </c>
      <c r="E92" s="110">
        <f>10000*120</f>
        <v>1200000</v>
      </c>
      <c r="F92" s="110"/>
    </row>
    <row r="93" spans="1:6" s="2" customFormat="1" x14ac:dyDescent="0.25">
      <c r="A93" s="27"/>
      <c r="B93" s="6"/>
      <c r="C93" s="18" t="s">
        <v>0</v>
      </c>
      <c r="D93" s="111"/>
      <c r="E93" s="112"/>
      <c r="F93" s="113">
        <f>SUM(E92)</f>
        <v>1200000</v>
      </c>
    </row>
    <row r="94" spans="1:6" s="2" customFormat="1" x14ac:dyDescent="0.25">
      <c r="A94" s="27"/>
      <c r="B94" s="63"/>
      <c r="C94" s="13"/>
      <c r="D94" s="14"/>
      <c r="E94" s="19"/>
      <c r="F94" s="15"/>
    </row>
    <row r="95" spans="1:6" s="2" customFormat="1" x14ac:dyDescent="0.25">
      <c r="A95" s="27"/>
      <c r="B95" s="6" t="s">
        <v>306</v>
      </c>
      <c r="C95" s="39" t="s">
        <v>178</v>
      </c>
      <c r="D95" s="8"/>
      <c r="E95" s="21"/>
      <c r="F95" s="21"/>
    </row>
    <row r="96" spans="1:6" s="2" customFormat="1" ht="69.95" customHeight="1" x14ac:dyDescent="0.25">
      <c r="A96" s="27"/>
      <c r="B96" s="63"/>
      <c r="C96" s="229" t="s">
        <v>340</v>
      </c>
      <c r="D96" s="229"/>
      <c r="E96" s="229"/>
      <c r="F96" s="229"/>
    </row>
    <row r="97" spans="1:6" s="2" customFormat="1" x14ac:dyDescent="0.25">
      <c r="A97" s="27"/>
      <c r="B97" s="81"/>
      <c r="C97" s="20" t="s">
        <v>221</v>
      </c>
      <c r="D97" s="56">
        <v>2000000</v>
      </c>
      <c r="E97" s="30">
        <v>2000000</v>
      </c>
      <c r="F97" s="31"/>
    </row>
    <row r="98" spans="1:6" s="2" customFormat="1" x14ac:dyDescent="0.25">
      <c r="A98" s="27"/>
      <c r="B98" s="80"/>
      <c r="C98" s="18" t="s">
        <v>0</v>
      </c>
      <c r="D98" s="8"/>
      <c r="E98" s="21"/>
      <c r="F98" s="12">
        <f>SUM(E97:E97)</f>
        <v>2000000</v>
      </c>
    </row>
    <row r="99" spans="1:6" s="2" customFormat="1" x14ac:dyDescent="0.25">
      <c r="A99" s="27"/>
      <c r="B99" s="63"/>
      <c r="C99" s="13"/>
      <c r="D99" s="14"/>
      <c r="E99" s="19"/>
      <c r="F99" s="15"/>
    </row>
    <row r="100" spans="1:6" s="2" customFormat="1" x14ac:dyDescent="0.25">
      <c r="A100" s="27"/>
      <c r="B100" s="80" t="s">
        <v>305</v>
      </c>
      <c r="C100" s="28" t="s">
        <v>222</v>
      </c>
      <c r="D100" s="28"/>
      <c r="E100" s="28"/>
      <c r="F100" s="31"/>
    </row>
    <row r="101" spans="1:6" s="2" customFormat="1" ht="18.95" customHeight="1" x14ac:dyDescent="0.25">
      <c r="A101" s="27"/>
      <c r="B101" s="7"/>
      <c r="C101" s="233" t="s">
        <v>344</v>
      </c>
      <c r="D101" s="234"/>
      <c r="E101" s="234"/>
      <c r="F101" s="234"/>
    </row>
    <row r="102" spans="1:6" x14ac:dyDescent="0.25">
      <c r="B102" s="81"/>
      <c r="C102" s="20" t="s">
        <v>180</v>
      </c>
      <c r="D102" s="20" t="s">
        <v>181</v>
      </c>
      <c r="E102" s="31">
        <f>40000*3</f>
        <v>120000</v>
      </c>
      <c r="F102" s="89"/>
    </row>
    <row r="103" spans="1:6" x14ac:dyDescent="0.25">
      <c r="B103" s="81"/>
      <c r="C103" s="20" t="s">
        <v>15</v>
      </c>
      <c r="D103" s="20" t="s">
        <v>223</v>
      </c>
      <c r="E103" s="31">
        <f>SUM(15*4*3*120)</f>
        <v>21600</v>
      </c>
      <c r="F103" s="89"/>
    </row>
    <row r="104" spans="1:6" x14ac:dyDescent="0.25">
      <c r="B104" s="80"/>
      <c r="C104" s="18" t="s">
        <v>0</v>
      </c>
      <c r="E104" s="21"/>
      <c r="F104" s="12">
        <f>SUM(E102:E103)</f>
        <v>141600</v>
      </c>
    </row>
    <row r="105" spans="1:6" ht="15.75" customHeight="1" x14ac:dyDescent="0.25">
      <c r="B105" s="63"/>
      <c r="C105" s="13"/>
      <c r="D105" s="14"/>
      <c r="E105" s="19"/>
      <c r="F105" s="15"/>
    </row>
    <row r="106" spans="1:6" ht="20.100000000000001" customHeight="1" x14ac:dyDescent="0.25">
      <c r="A106" s="27"/>
      <c r="B106" s="6" t="s">
        <v>307</v>
      </c>
      <c r="C106" s="228" t="s">
        <v>24</v>
      </c>
      <c r="D106" s="228"/>
      <c r="E106" s="21"/>
      <c r="F106" s="21"/>
    </row>
    <row r="107" spans="1:6" s="60" customFormat="1" ht="51" customHeight="1" x14ac:dyDescent="0.25">
      <c r="A107" s="27"/>
      <c r="B107" s="63"/>
      <c r="C107" s="222" t="s">
        <v>341</v>
      </c>
      <c r="D107" s="222"/>
      <c r="E107" s="222"/>
      <c r="F107" s="222"/>
    </row>
    <row r="108" spans="1:6" s="2" customFormat="1" x14ac:dyDescent="0.25">
      <c r="A108" s="27"/>
      <c r="B108" s="81"/>
      <c r="C108" s="20" t="s">
        <v>8</v>
      </c>
      <c r="D108" s="20" t="s">
        <v>194</v>
      </c>
      <c r="E108" s="30">
        <f>30000*3</f>
        <v>90000</v>
      </c>
      <c r="F108" s="89"/>
    </row>
    <row r="109" spans="1:6" s="60" customFormat="1" ht="20.100000000000001" customHeight="1" x14ac:dyDescent="0.25">
      <c r="A109" s="27"/>
      <c r="B109" s="81"/>
      <c r="C109" s="20" t="s">
        <v>168</v>
      </c>
      <c r="D109" s="20" t="s">
        <v>342</v>
      </c>
      <c r="E109" s="30">
        <f>90*4*3*120</f>
        <v>129600</v>
      </c>
      <c r="F109" s="89"/>
    </row>
    <row r="110" spans="1:6" s="61" customFormat="1" ht="20.100000000000001" customHeight="1" x14ac:dyDescent="0.25">
      <c r="A110" s="27"/>
      <c r="B110" s="81"/>
      <c r="C110" s="20" t="s">
        <v>15</v>
      </c>
      <c r="D110" s="20" t="s">
        <v>343</v>
      </c>
      <c r="E110" s="30">
        <f>15*4*3*120</f>
        <v>21600</v>
      </c>
      <c r="F110" s="89"/>
    </row>
    <row r="111" spans="1:6" s="2" customFormat="1" ht="20.100000000000001" customHeight="1" x14ac:dyDescent="0.25">
      <c r="A111" s="27"/>
      <c r="B111" s="81"/>
      <c r="C111" s="20" t="s">
        <v>60</v>
      </c>
      <c r="D111" s="20" t="s">
        <v>171</v>
      </c>
      <c r="E111" s="30">
        <v>60000</v>
      </c>
      <c r="F111" s="93"/>
    </row>
    <row r="112" spans="1:6" s="2" customFormat="1" ht="20.100000000000001" customHeight="1" x14ac:dyDescent="0.25">
      <c r="A112" s="27"/>
      <c r="B112" s="82"/>
      <c r="C112" s="87" t="s">
        <v>206</v>
      </c>
      <c r="D112" s="11" t="s">
        <v>224</v>
      </c>
      <c r="E112" s="9">
        <v>1000000</v>
      </c>
      <c r="F112" s="21"/>
    </row>
    <row r="113" spans="1:6" s="2" customFormat="1" x14ac:dyDescent="0.25">
      <c r="A113" s="27"/>
      <c r="B113" s="81"/>
      <c r="C113" s="20" t="s">
        <v>87</v>
      </c>
      <c r="D113" s="42" t="s">
        <v>179</v>
      </c>
      <c r="E113" s="30">
        <f>10000*120</f>
        <v>1200000</v>
      </c>
      <c r="F113" s="31"/>
    </row>
    <row r="114" spans="1:6" s="2" customFormat="1" ht="18" customHeight="1" x14ac:dyDescent="0.25">
      <c r="A114" s="27"/>
      <c r="B114" s="80"/>
      <c r="C114" s="33" t="s">
        <v>0</v>
      </c>
      <c r="D114" s="32"/>
      <c r="E114" s="31"/>
      <c r="F114" s="35">
        <f>SUM(E108:E113)</f>
        <v>2501200</v>
      </c>
    </row>
    <row r="115" spans="1:6" s="2" customFormat="1" ht="18" customHeight="1" x14ac:dyDescent="0.25">
      <c r="A115" s="27"/>
      <c r="B115" s="63"/>
      <c r="C115" s="13"/>
      <c r="D115" s="14"/>
      <c r="E115" s="19"/>
      <c r="F115" s="15"/>
    </row>
    <row r="116" spans="1:6" s="2" customFormat="1" ht="18" customHeight="1" x14ac:dyDescent="0.25">
      <c r="A116" s="27"/>
      <c r="B116" s="6" t="s">
        <v>130</v>
      </c>
      <c r="C116" s="28" t="s">
        <v>103</v>
      </c>
      <c r="D116" s="8"/>
      <c r="E116" s="21"/>
      <c r="F116" s="21"/>
    </row>
    <row r="117" spans="1:6" ht="54" customHeight="1" x14ac:dyDescent="0.25">
      <c r="B117" s="63"/>
      <c r="C117" s="224" t="s">
        <v>345</v>
      </c>
      <c r="D117" s="224"/>
      <c r="E117" s="224"/>
      <c r="F117" s="224"/>
    </row>
    <row r="118" spans="1:6" x14ac:dyDescent="0.25">
      <c r="B118" s="81"/>
      <c r="C118" s="20" t="s">
        <v>115</v>
      </c>
      <c r="D118" s="20" t="s">
        <v>225</v>
      </c>
      <c r="E118" s="30">
        <v>240000</v>
      </c>
      <c r="F118" s="31"/>
    </row>
    <row r="119" spans="1:6" x14ac:dyDescent="0.25">
      <c r="B119" s="81"/>
      <c r="C119" s="20" t="s">
        <v>309</v>
      </c>
      <c r="D119" s="20" t="s">
        <v>310</v>
      </c>
      <c r="E119" s="30">
        <f>50000*5</f>
        <v>250000</v>
      </c>
      <c r="F119" s="89"/>
    </row>
    <row r="120" spans="1:6" ht="16.5" customHeight="1" x14ac:dyDescent="0.25">
      <c r="B120" s="81"/>
      <c r="C120" s="20" t="s">
        <v>106</v>
      </c>
      <c r="D120" s="20" t="s">
        <v>226</v>
      </c>
      <c r="E120" s="30">
        <f>250*5*3*120</f>
        <v>450000</v>
      </c>
      <c r="F120" s="89"/>
    </row>
    <row r="121" spans="1:6" s="2" customFormat="1" x14ac:dyDescent="0.25">
      <c r="A121" s="27"/>
      <c r="B121" s="81"/>
      <c r="C121" s="87" t="s">
        <v>206</v>
      </c>
      <c r="D121" s="20" t="s">
        <v>185</v>
      </c>
      <c r="E121" s="30">
        <v>250000</v>
      </c>
      <c r="F121" s="36"/>
    </row>
    <row r="122" spans="1:6" s="2" customFormat="1" x14ac:dyDescent="0.25">
      <c r="A122" s="27"/>
      <c r="B122" s="81"/>
      <c r="C122" s="20" t="s">
        <v>6</v>
      </c>
      <c r="D122" s="20" t="s">
        <v>227</v>
      </c>
      <c r="E122" s="30">
        <f>15*2*4*120</f>
        <v>14400</v>
      </c>
      <c r="F122" s="89"/>
    </row>
    <row r="123" spans="1:6" s="2" customFormat="1" x14ac:dyDescent="0.25">
      <c r="A123" s="27"/>
      <c r="B123" s="6"/>
      <c r="C123" s="18" t="s">
        <v>0</v>
      </c>
      <c r="D123" s="8"/>
      <c r="E123" s="21"/>
      <c r="F123" s="12">
        <f>SUM(E118:E122)</f>
        <v>1204400</v>
      </c>
    </row>
    <row r="124" spans="1:6" s="2" customFormat="1" x14ac:dyDescent="0.25">
      <c r="A124" s="27"/>
      <c r="B124" s="63"/>
      <c r="C124" s="13"/>
      <c r="D124" s="14"/>
      <c r="E124" s="19"/>
      <c r="F124" s="15"/>
    </row>
    <row r="125" spans="1:6" s="2" customFormat="1" x14ac:dyDescent="0.25">
      <c r="A125" s="27"/>
      <c r="B125" s="6" t="s">
        <v>308</v>
      </c>
      <c r="C125" s="73" t="s">
        <v>228</v>
      </c>
      <c r="D125" s="8"/>
      <c r="E125" s="21"/>
      <c r="F125" s="12"/>
    </row>
    <row r="126" spans="1:6" s="2" customFormat="1" ht="97.35" customHeight="1" x14ac:dyDescent="0.25">
      <c r="A126" s="27"/>
      <c r="B126" s="63"/>
      <c r="C126" s="225" t="s">
        <v>229</v>
      </c>
      <c r="D126" s="225"/>
      <c r="E126" s="225"/>
      <c r="F126" s="226"/>
    </row>
    <row r="127" spans="1:6" s="2" customFormat="1" x14ac:dyDescent="0.25">
      <c r="A127" s="27"/>
      <c r="B127" s="6"/>
      <c r="C127" s="74" t="s">
        <v>12</v>
      </c>
      <c r="D127" s="8" t="s">
        <v>230</v>
      </c>
      <c r="E127" s="21">
        <f>10*500*120</f>
        <v>600000</v>
      </c>
      <c r="F127" s="92"/>
    </row>
    <row r="128" spans="1:6" x14ac:dyDescent="0.25">
      <c r="C128" s="74" t="s">
        <v>231</v>
      </c>
      <c r="D128" s="8" t="s">
        <v>232</v>
      </c>
      <c r="E128" s="21">
        <f>10*3*130*120</f>
        <v>468000</v>
      </c>
      <c r="F128" s="92"/>
    </row>
    <row r="129" spans="1:6" ht="18" customHeight="1" x14ac:dyDescent="0.25">
      <c r="C129" s="74" t="s">
        <v>233</v>
      </c>
      <c r="D129" s="8" t="s">
        <v>234</v>
      </c>
      <c r="E129" s="21">
        <f>400*120</f>
        <v>48000</v>
      </c>
      <c r="F129" s="92"/>
    </row>
    <row r="130" spans="1:6" s="2" customFormat="1" ht="19.350000000000001" customHeight="1" x14ac:dyDescent="0.25">
      <c r="A130" s="27"/>
      <c r="B130" s="6"/>
      <c r="C130" s="74" t="s">
        <v>235</v>
      </c>
      <c r="D130" s="8" t="s">
        <v>236</v>
      </c>
      <c r="E130" s="21">
        <v>148000</v>
      </c>
      <c r="F130" s="12"/>
    </row>
    <row r="131" spans="1:6" s="2" customFormat="1" x14ac:dyDescent="0.25">
      <c r="A131" s="27"/>
      <c r="B131" s="6"/>
      <c r="C131" s="74" t="s">
        <v>237</v>
      </c>
      <c r="D131" s="8" t="s">
        <v>238</v>
      </c>
      <c r="E131" s="21">
        <v>0</v>
      </c>
      <c r="F131" s="12"/>
    </row>
    <row r="132" spans="1:6" s="2" customFormat="1" x14ac:dyDescent="0.25">
      <c r="A132" s="27"/>
      <c r="B132" s="6"/>
      <c r="C132" s="74" t="s">
        <v>346</v>
      </c>
      <c r="D132" s="8" t="s">
        <v>242</v>
      </c>
      <c r="E132" s="21">
        <v>0</v>
      </c>
      <c r="F132" s="12"/>
    </row>
    <row r="133" spans="1:6" s="2" customFormat="1" ht="18" customHeight="1" x14ac:dyDescent="0.25">
      <c r="A133" s="27"/>
      <c r="B133" s="6"/>
      <c r="C133" s="74" t="s">
        <v>239</v>
      </c>
      <c r="D133" s="8" t="s">
        <v>240</v>
      </c>
      <c r="E133" s="21">
        <v>240000</v>
      </c>
      <c r="F133" s="12"/>
    </row>
    <row r="134" spans="1:6" s="2" customFormat="1" ht="18.600000000000001" customHeight="1" x14ac:dyDescent="0.25">
      <c r="A134" s="27"/>
      <c r="B134" s="6"/>
      <c r="C134" s="74" t="s">
        <v>241</v>
      </c>
      <c r="D134" s="8" t="s">
        <v>238</v>
      </c>
      <c r="E134" s="21">
        <v>120000</v>
      </c>
      <c r="F134" s="12"/>
    </row>
    <row r="135" spans="1:6" s="2" customFormat="1" ht="16.350000000000001" customHeight="1" x14ac:dyDescent="0.25">
      <c r="A135" s="27"/>
      <c r="B135" s="6"/>
      <c r="C135" s="43" t="s">
        <v>60</v>
      </c>
      <c r="D135" s="8" t="s">
        <v>242</v>
      </c>
      <c r="E135" s="21">
        <v>0</v>
      </c>
      <c r="F135" s="12"/>
    </row>
    <row r="136" spans="1:6" s="60" customFormat="1" x14ac:dyDescent="0.25">
      <c r="A136" s="27"/>
      <c r="B136" s="6"/>
      <c r="C136" s="75" t="s">
        <v>0</v>
      </c>
      <c r="D136" s="8"/>
      <c r="E136" s="21"/>
      <c r="F136" s="12">
        <f>SUM(E127:E135)</f>
        <v>1624000</v>
      </c>
    </row>
    <row r="137" spans="1:6" s="2" customFormat="1" x14ac:dyDescent="0.25">
      <c r="A137" s="27"/>
      <c r="B137" s="63"/>
      <c r="C137" s="13"/>
      <c r="D137" s="14"/>
      <c r="E137" s="19"/>
      <c r="F137" s="15"/>
    </row>
    <row r="138" spans="1:6" s="2" customFormat="1" x14ac:dyDescent="0.25">
      <c r="A138" s="27"/>
      <c r="B138" s="6" t="s">
        <v>311</v>
      </c>
      <c r="C138" s="28" t="s">
        <v>94</v>
      </c>
      <c r="D138" s="28"/>
      <c r="E138" s="21"/>
      <c r="F138" s="22"/>
    </row>
    <row r="139" spans="1:6" ht="82.35" customHeight="1" x14ac:dyDescent="0.25">
      <c r="B139" s="63"/>
      <c r="C139" s="222" t="s">
        <v>347</v>
      </c>
      <c r="D139" s="222"/>
      <c r="E139" s="222"/>
      <c r="F139" s="227"/>
    </row>
    <row r="140" spans="1:6" s="2" customFormat="1" ht="21" customHeight="1" x14ac:dyDescent="0.25">
      <c r="A140" s="27"/>
      <c r="B140" s="81"/>
      <c r="C140" s="43" t="s">
        <v>147</v>
      </c>
      <c r="D140" s="20" t="s">
        <v>244</v>
      </c>
      <c r="E140" s="31">
        <f>SUM(40000*120)</f>
        <v>4800000</v>
      </c>
      <c r="F140" s="31"/>
    </row>
    <row r="141" spans="1:6" ht="19.5" customHeight="1" x14ac:dyDescent="0.25">
      <c r="B141" s="81"/>
      <c r="C141" s="43" t="s">
        <v>200</v>
      </c>
      <c r="D141" s="11" t="s">
        <v>245</v>
      </c>
      <c r="E141" s="21">
        <v>80000</v>
      </c>
      <c r="F141" s="89"/>
    </row>
    <row r="142" spans="1:6" s="2" customFormat="1" x14ac:dyDescent="0.25">
      <c r="A142" s="27"/>
      <c r="B142" s="6"/>
      <c r="C142" s="18" t="s">
        <v>0</v>
      </c>
      <c r="D142" s="8"/>
      <c r="E142" s="21"/>
      <c r="F142" s="12">
        <f>SUM(E140:E141)</f>
        <v>4880000</v>
      </c>
    </row>
    <row r="143" spans="1:6" s="2" customFormat="1" x14ac:dyDescent="0.25">
      <c r="A143" s="27"/>
      <c r="B143" s="63"/>
      <c r="C143" s="13"/>
      <c r="D143" s="14"/>
      <c r="E143" s="19"/>
      <c r="F143" s="15"/>
    </row>
    <row r="144" spans="1:6" x14ac:dyDescent="0.25">
      <c r="B144" s="6" t="s">
        <v>312</v>
      </c>
      <c r="C144" s="228" t="s">
        <v>117</v>
      </c>
      <c r="D144" s="228"/>
      <c r="E144" s="21"/>
      <c r="F144" s="21"/>
    </row>
    <row r="145" spans="1:6" ht="35.1" customHeight="1" x14ac:dyDescent="0.25">
      <c r="B145" s="63"/>
      <c r="C145" s="220" t="s">
        <v>7</v>
      </c>
      <c r="D145" s="220"/>
      <c r="E145" s="220"/>
      <c r="F145" s="221"/>
    </row>
    <row r="146" spans="1:6" ht="18" customHeight="1" x14ac:dyDescent="0.25">
      <c r="B146" s="81"/>
      <c r="C146" s="51" t="s">
        <v>11</v>
      </c>
      <c r="D146" s="21" t="s">
        <v>207</v>
      </c>
      <c r="E146" s="21">
        <f>3000*120</f>
        <v>360000</v>
      </c>
      <c r="F146" s="76"/>
    </row>
    <row r="147" spans="1:6" s="2" customFormat="1" x14ac:dyDescent="0.25">
      <c r="A147" s="27"/>
      <c r="B147" s="81"/>
      <c r="C147" s="51" t="s">
        <v>313</v>
      </c>
      <c r="D147" s="21" t="s">
        <v>249</v>
      </c>
      <c r="E147" s="21">
        <f>SUM(800*120)</f>
        <v>96000</v>
      </c>
      <c r="F147" s="76"/>
    </row>
    <row r="148" spans="1:6" s="2" customFormat="1" x14ac:dyDescent="0.25">
      <c r="A148" s="27"/>
      <c r="B148" s="81"/>
      <c r="C148" s="20" t="s">
        <v>246</v>
      </c>
      <c r="D148" s="20" t="s">
        <v>247</v>
      </c>
      <c r="E148" s="30">
        <v>50000</v>
      </c>
      <c r="F148" s="91"/>
    </row>
    <row r="149" spans="1:6" x14ac:dyDescent="0.25">
      <c r="B149" s="81"/>
      <c r="C149" s="20" t="s">
        <v>248</v>
      </c>
      <c r="D149" s="21" t="s">
        <v>250</v>
      </c>
      <c r="E149" s="21">
        <f>SUM(125*2*120)</f>
        <v>30000</v>
      </c>
      <c r="F149" s="91"/>
    </row>
    <row r="150" spans="1:6" x14ac:dyDescent="0.25">
      <c r="B150" s="81"/>
      <c r="C150" s="20" t="s">
        <v>112</v>
      </c>
      <c r="D150" s="21" t="s">
        <v>251</v>
      </c>
      <c r="E150" s="21">
        <f>SUM(15*2*120)</f>
        <v>3600</v>
      </c>
      <c r="F150" s="91"/>
    </row>
    <row r="151" spans="1:6" x14ac:dyDescent="0.25">
      <c r="C151" s="18" t="s">
        <v>0</v>
      </c>
      <c r="E151" s="21"/>
      <c r="F151" s="12">
        <f>SUM(E146:E150)</f>
        <v>539600</v>
      </c>
    </row>
    <row r="152" spans="1:6" ht="17.25" customHeight="1" x14ac:dyDescent="0.25">
      <c r="B152" s="63"/>
      <c r="C152" s="13"/>
      <c r="D152" s="14"/>
      <c r="E152" s="19"/>
      <c r="F152" s="15"/>
    </row>
    <row r="153" spans="1:6" s="2" customFormat="1" x14ac:dyDescent="0.25">
      <c r="A153" s="27"/>
      <c r="B153" s="6" t="s">
        <v>315</v>
      </c>
      <c r="C153" s="24" t="s">
        <v>156</v>
      </c>
      <c r="D153" s="25"/>
      <c r="E153" s="9"/>
      <c r="F153" s="12"/>
    </row>
    <row r="154" spans="1:6" s="2" customFormat="1" ht="39" customHeight="1" x14ac:dyDescent="0.25">
      <c r="A154" s="27"/>
      <c r="B154" s="63"/>
      <c r="C154" s="222" t="s">
        <v>172</v>
      </c>
      <c r="D154" s="222"/>
      <c r="E154" s="222"/>
      <c r="F154" s="222"/>
    </row>
    <row r="155" spans="1:6" s="2" customFormat="1" x14ac:dyDescent="0.25">
      <c r="A155" s="27"/>
      <c r="B155" s="81"/>
      <c r="C155" s="51" t="s">
        <v>9</v>
      </c>
      <c r="D155" s="44" t="s">
        <v>348</v>
      </c>
      <c r="E155" s="30">
        <f>600*120</f>
        <v>72000</v>
      </c>
      <c r="F155" s="76"/>
    </row>
    <row r="156" spans="1:6" s="2" customFormat="1" x14ac:dyDescent="0.25">
      <c r="A156" s="27"/>
      <c r="B156" s="6"/>
      <c r="C156" s="23" t="s">
        <v>0</v>
      </c>
      <c r="D156" s="18"/>
      <c r="E156" s="21"/>
      <c r="F156" s="22">
        <f>E155</f>
        <v>72000</v>
      </c>
    </row>
    <row r="157" spans="1:6" s="2" customFormat="1" x14ac:dyDescent="0.25">
      <c r="A157" s="27"/>
      <c r="B157" s="63"/>
      <c r="C157" s="13"/>
      <c r="D157" s="14"/>
      <c r="E157" s="19"/>
      <c r="F157" s="15"/>
    </row>
    <row r="158" spans="1:6" x14ac:dyDescent="0.25">
      <c r="B158" s="6" t="s">
        <v>316</v>
      </c>
      <c r="C158" s="24" t="s">
        <v>105</v>
      </c>
      <c r="D158" s="25"/>
      <c r="E158" s="9"/>
      <c r="F158" s="12"/>
    </row>
    <row r="159" spans="1:6" ht="42.95" customHeight="1" x14ac:dyDescent="0.25">
      <c r="B159" s="63"/>
      <c r="C159" s="222" t="s">
        <v>10</v>
      </c>
      <c r="D159" s="222"/>
      <c r="E159" s="222"/>
      <c r="F159" s="223"/>
    </row>
    <row r="160" spans="1:6" x14ac:dyDescent="0.25">
      <c r="B160" s="81"/>
      <c r="C160" s="51" t="s">
        <v>9</v>
      </c>
      <c r="D160" s="44" t="s">
        <v>243</v>
      </c>
      <c r="E160" s="30">
        <f>5000*120</f>
        <v>600000</v>
      </c>
      <c r="F160" s="76"/>
    </row>
    <row r="161" spans="1:6" ht="16.5" customHeight="1" x14ac:dyDescent="0.25">
      <c r="C161" s="23" t="s">
        <v>0</v>
      </c>
      <c r="D161" s="18"/>
      <c r="E161" s="21"/>
      <c r="F161" s="22">
        <f>E160</f>
        <v>600000</v>
      </c>
    </row>
    <row r="162" spans="1:6" s="2" customFormat="1" ht="17.850000000000001" customHeight="1" x14ac:dyDescent="0.25">
      <c r="A162" s="27"/>
      <c r="B162" s="63"/>
      <c r="C162" s="13"/>
      <c r="D162" s="14"/>
      <c r="E162" s="19"/>
      <c r="F162" s="15"/>
    </row>
    <row r="163" spans="1:6" s="2" customFormat="1" ht="18.600000000000001" customHeight="1" x14ac:dyDescent="0.25">
      <c r="A163" s="27"/>
      <c r="B163" s="6" t="s">
        <v>314</v>
      </c>
      <c r="C163" s="24" t="s">
        <v>148</v>
      </c>
      <c r="D163" s="25"/>
      <c r="E163" s="9"/>
      <c r="F163" s="12"/>
    </row>
    <row r="164" spans="1:6" s="2" customFormat="1" ht="39.950000000000003" customHeight="1" x14ac:dyDescent="0.25">
      <c r="A164" s="27"/>
      <c r="B164" s="63"/>
      <c r="C164" s="222" t="s">
        <v>149</v>
      </c>
      <c r="D164" s="222"/>
      <c r="E164" s="222"/>
      <c r="F164" s="223"/>
    </row>
    <row r="165" spans="1:6" x14ac:dyDescent="0.25">
      <c r="B165" s="81"/>
      <c r="C165" s="51" t="s">
        <v>9</v>
      </c>
      <c r="D165" s="44" t="s">
        <v>243</v>
      </c>
      <c r="E165" s="30">
        <f>5000*120</f>
        <v>600000</v>
      </c>
      <c r="F165" s="76"/>
    </row>
    <row r="166" spans="1:6" x14ac:dyDescent="0.25">
      <c r="A166" s="4"/>
      <c r="C166" s="23" t="s">
        <v>0</v>
      </c>
      <c r="D166" s="18"/>
      <c r="E166" s="21"/>
      <c r="F166" s="22">
        <f>E165</f>
        <v>600000</v>
      </c>
    </row>
    <row r="167" spans="1:6" x14ac:dyDescent="0.25">
      <c r="A167" s="4"/>
      <c r="B167" s="63"/>
      <c r="C167" s="13"/>
      <c r="D167" s="14"/>
      <c r="E167" s="19"/>
      <c r="F167" s="15"/>
    </row>
    <row r="168" spans="1:6" s="2" customFormat="1" ht="18.600000000000001" customHeight="1" x14ac:dyDescent="0.25">
      <c r="A168" s="27"/>
      <c r="B168" s="6" t="s">
        <v>317</v>
      </c>
      <c r="C168" s="24" t="s">
        <v>333</v>
      </c>
      <c r="D168" s="25"/>
      <c r="E168" s="9"/>
      <c r="F168" s="12"/>
    </row>
    <row r="169" spans="1:6" s="2" customFormat="1" ht="57" customHeight="1" x14ac:dyDescent="0.25">
      <c r="A169" s="27"/>
      <c r="B169" s="63"/>
      <c r="C169" s="222" t="s">
        <v>349</v>
      </c>
      <c r="D169" s="257"/>
      <c r="E169" s="257"/>
      <c r="F169" s="258"/>
    </row>
    <row r="170" spans="1:6" x14ac:dyDescent="0.25">
      <c r="B170" s="81"/>
      <c r="C170" s="51" t="s">
        <v>318</v>
      </c>
      <c r="D170" s="44" t="s">
        <v>146</v>
      </c>
      <c r="E170" s="30">
        <f>1000*120</f>
        <v>120000</v>
      </c>
      <c r="F170" s="76"/>
    </row>
    <row r="171" spans="1:6" x14ac:dyDescent="0.25">
      <c r="A171" s="4"/>
      <c r="C171" s="23" t="s">
        <v>0</v>
      </c>
      <c r="D171" s="18"/>
      <c r="E171" s="21"/>
      <c r="F171" s="22">
        <f>E170</f>
        <v>120000</v>
      </c>
    </row>
    <row r="172" spans="1:6" x14ac:dyDescent="0.25">
      <c r="A172" s="4"/>
      <c r="B172" s="63"/>
      <c r="C172" s="13"/>
      <c r="D172" s="14"/>
      <c r="E172" s="19"/>
      <c r="F172" s="15"/>
    </row>
    <row r="173" spans="1:6" s="2" customFormat="1" ht="18.600000000000001" customHeight="1" x14ac:dyDescent="0.25">
      <c r="A173" s="27"/>
      <c r="B173" s="6" t="s">
        <v>319</v>
      </c>
      <c r="C173" s="24" t="s">
        <v>330</v>
      </c>
      <c r="D173" s="25"/>
      <c r="E173" s="9"/>
      <c r="F173" s="12"/>
    </row>
    <row r="174" spans="1:6" s="2" customFormat="1" ht="56.1" customHeight="1" x14ac:dyDescent="0.25">
      <c r="A174" s="27"/>
      <c r="B174" s="63"/>
      <c r="C174" s="222" t="s">
        <v>331</v>
      </c>
      <c r="D174" s="257"/>
      <c r="E174" s="257"/>
      <c r="F174" s="257"/>
    </row>
    <row r="175" spans="1:6" x14ac:dyDescent="0.25">
      <c r="B175" s="81"/>
      <c r="C175" s="51" t="s">
        <v>221</v>
      </c>
      <c r="D175" s="44" t="s">
        <v>320</v>
      </c>
      <c r="E175" s="30">
        <f>1900*120</f>
        <v>228000</v>
      </c>
      <c r="F175" s="76"/>
    </row>
    <row r="176" spans="1:6" x14ac:dyDescent="0.25">
      <c r="A176" s="4"/>
      <c r="C176" s="23" t="s">
        <v>0</v>
      </c>
      <c r="D176" s="18"/>
      <c r="E176" s="21"/>
      <c r="F176" s="22">
        <f>E175</f>
        <v>228000</v>
      </c>
    </row>
    <row r="177" spans="1:6" x14ac:dyDescent="0.25">
      <c r="A177" s="4"/>
      <c r="B177" s="63"/>
      <c r="C177" s="13"/>
      <c r="D177" s="14"/>
      <c r="E177" s="19"/>
      <c r="F177" s="15"/>
    </row>
    <row r="178" spans="1:6" x14ac:dyDescent="0.25">
      <c r="A178" s="4"/>
      <c r="B178" s="73" t="s">
        <v>321</v>
      </c>
      <c r="C178" s="73" t="s">
        <v>332</v>
      </c>
      <c r="D178" s="28"/>
      <c r="E178" s="21"/>
      <c r="F178" s="22"/>
    </row>
    <row r="179" spans="1:6" ht="105.95" customHeight="1" x14ac:dyDescent="0.25">
      <c r="A179" s="4"/>
      <c r="B179" s="63"/>
      <c r="C179" s="259" t="s">
        <v>457</v>
      </c>
      <c r="D179" s="257"/>
      <c r="E179" s="257"/>
      <c r="F179" s="258"/>
    </row>
    <row r="180" spans="1:6" ht="21" customHeight="1" x14ac:dyDescent="0.25">
      <c r="B180" s="74"/>
      <c r="C180" s="87" t="s">
        <v>221</v>
      </c>
      <c r="D180" s="44" t="s">
        <v>179</v>
      </c>
      <c r="E180" s="21">
        <f>SUM(10000*120)</f>
        <v>1200000</v>
      </c>
      <c r="F180" s="22"/>
    </row>
    <row r="181" spans="1:6" ht="18.600000000000001" customHeight="1" x14ac:dyDescent="0.25">
      <c r="B181" s="74"/>
      <c r="C181" s="87" t="s">
        <v>403</v>
      </c>
      <c r="D181" s="44" t="s">
        <v>397</v>
      </c>
      <c r="E181" s="21">
        <v>6000000</v>
      </c>
      <c r="F181" s="22"/>
    </row>
    <row r="182" spans="1:6" x14ac:dyDescent="0.25">
      <c r="A182" s="4"/>
      <c r="C182" s="23" t="s">
        <v>0</v>
      </c>
      <c r="D182" s="18"/>
      <c r="E182" s="21"/>
      <c r="F182" s="22">
        <f>SUM(E180:E181)</f>
        <v>7200000</v>
      </c>
    </row>
    <row r="183" spans="1:6" x14ac:dyDescent="0.25">
      <c r="A183" s="4"/>
      <c r="B183" s="63"/>
      <c r="C183" s="13"/>
      <c r="D183" s="14"/>
      <c r="E183" s="19"/>
      <c r="F183" s="15"/>
    </row>
    <row r="184" spans="1:6" s="2" customFormat="1" ht="18.600000000000001" customHeight="1" x14ac:dyDescent="0.25">
      <c r="A184" s="27"/>
      <c r="B184" s="6" t="s">
        <v>325</v>
      </c>
      <c r="C184" s="24" t="s">
        <v>328</v>
      </c>
      <c r="D184" s="25"/>
      <c r="E184" s="9"/>
      <c r="F184" s="12"/>
    </row>
    <row r="185" spans="1:6" s="2" customFormat="1" ht="90" customHeight="1" x14ac:dyDescent="0.25">
      <c r="A185" s="27"/>
      <c r="B185" s="63"/>
      <c r="C185" s="225" t="s">
        <v>350</v>
      </c>
      <c r="D185" s="225"/>
      <c r="E185" s="225"/>
      <c r="F185" s="226"/>
    </row>
    <row r="186" spans="1:6" x14ac:dyDescent="0.25">
      <c r="B186" s="81"/>
      <c r="C186" s="51" t="s">
        <v>322</v>
      </c>
      <c r="D186" s="44" t="s">
        <v>323</v>
      </c>
      <c r="E186" s="30">
        <f>23500*120</f>
        <v>2820000</v>
      </c>
      <c r="F186" s="76"/>
    </row>
    <row r="187" spans="1:6" x14ac:dyDescent="0.25">
      <c r="A187" s="4"/>
      <c r="C187" s="23" t="s">
        <v>0</v>
      </c>
      <c r="D187" s="18"/>
      <c r="E187" s="21"/>
      <c r="F187" s="22">
        <f>E186</f>
        <v>2820000</v>
      </c>
    </row>
    <row r="188" spans="1:6" x14ac:dyDescent="0.25">
      <c r="A188" s="4"/>
      <c r="B188" s="63"/>
      <c r="C188" s="13"/>
      <c r="D188" s="14"/>
      <c r="E188" s="19"/>
      <c r="F188" s="15"/>
    </row>
    <row r="189" spans="1:6" s="2" customFormat="1" ht="18.600000000000001" customHeight="1" x14ac:dyDescent="0.25">
      <c r="A189" s="27"/>
      <c r="B189" s="6" t="s">
        <v>329</v>
      </c>
      <c r="C189" s="24" t="s">
        <v>327</v>
      </c>
      <c r="D189" s="25"/>
      <c r="E189" s="9"/>
      <c r="F189" s="12"/>
    </row>
    <row r="190" spans="1:6" s="2" customFormat="1" ht="120.95" customHeight="1" x14ac:dyDescent="0.25">
      <c r="A190" s="27"/>
      <c r="B190" s="63"/>
      <c r="C190" s="222" t="s">
        <v>351</v>
      </c>
      <c r="D190" s="257"/>
      <c r="E190" s="257"/>
      <c r="F190" s="257"/>
    </row>
    <row r="191" spans="1:6" x14ac:dyDescent="0.25">
      <c r="B191" s="81"/>
      <c r="C191" s="51" t="s">
        <v>334</v>
      </c>
      <c r="D191" s="44" t="s">
        <v>326</v>
      </c>
      <c r="E191" s="30">
        <f>45000*120</f>
        <v>5400000</v>
      </c>
      <c r="F191" s="76"/>
    </row>
    <row r="192" spans="1:6" x14ac:dyDescent="0.25">
      <c r="A192" s="4"/>
      <c r="C192" s="23" t="s">
        <v>0</v>
      </c>
      <c r="D192" s="18"/>
      <c r="E192" s="21"/>
      <c r="F192" s="22">
        <f>E191</f>
        <v>5400000</v>
      </c>
    </row>
    <row r="193" spans="1:6" x14ac:dyDescent="0.25">
      <c r="A193" s="4"/>
      <c r="B193" s="63"/>
      <c r="C193" s="13"/>
      <c r="D193" s="14"/>
      <c r="E193" s="19"/>
      <c r="F193" s="15"/>
    </row>
    <row r="194" spans="1:6" s="2" customFormat="1" ht="18.600000000000001" customHeight="1" x14ac:dyDescent="0.25">
      <c r="A194" s="27"/>
      <c r="B194" s="6" t="s">
        <v>365</v>
      </c>
      <c r="C194" s="24" t="s">
        <v>352</v>
      </c>
      <c r="D194" s="25"/>
      <c r="E194" s="9"/>
      <c r="F194" s="12"/>
    </row>
    <row r="195" spans="1:6" s="2" customFormat="1" ht="71.099999999999994" customHeight="1" x14ac:dyDescent="0.25">
      <c r="A195" s="27"/>
      <c r="B195" s="63"/>
      <c r="C195" s="259" t="s">
        <v>353</v>
      </c>
      <c r="D195" s="257"/>
      <c r="E195" s="257"/>
      <c r="F195" s="257"/>
    </row>
    <row r="196" spans="1:6" ht="15.95" customHeight="1" x14ac:dyDescent="0.25">
      <c r="B196" s="74"/>
      <c r="C196" s="114" t="s">
        <v>360</v>
      </c>
      <c r="D196" s="117" t="s">
        <v>364</v>
      </c>
      <c r="E196" s="118">
        <f>1500*120</f>
        <v>180000</v>
      </c>
      <c r="F196" s="114"/>
    </row>
    <row r="197" spans="1:6" ht="15.95" customHeight="1" x14ac:dyDescent="0.25">
      <c r="B197" s="74"/>
      <c r="C197" s="114" t="s">
        <v>359</v>
      </c>
      <c r="D197" s="117" t="s">
        <v>247</v>
      </c>
      <c r="E197" s="118">
        <v>50000</v>
      </c>
      <c r="F197" s="114"/>
    </row>
    <row r="198" spans="1:6" x14ac:dyDescent="0.25">
      <c r="B198" s="82"/>
      <c r="C198" s="114" t="s">
        <v>358</v>
      </c>
      <c r="D198" s="117" t="s">
        <v>361</v>
      </c>
      <c r="E198" s="119">
        <v>124600</v>
      </c>
      <c r="F198" s="112"/>
    </row>
    <row r="199" spans="1:6" x14ac:dyDescent="0.25">
      <c r="B199" s="82"/>
      <c r="C199" s="114" t="s">
        <v>356</v>
      </c>
      <c r="D199" s="117" t="s">
        <v>362</v>
      </c>
      <c r="E199" s="119">
        <v>180000</v>
      </c>
      <c r="F199" s="112"/>
    </row>
    <row r="200" spans="1:6" x14ac:dyDescent="0.25">
      <c r="B200" s="82"/>
      <c r="C200" s="87" t="s">
        <v>357</v>
      </c>
      <c r="D200" s="219" t="s">
        <v>207</v>
      </c>
      <c r="E200" s="9">
        <v>180000</v>
      </c>
      <c r="F200" s="21"/>
    </row>
    <row r="201" spans="1:6" x14ac:dyDescent="0.25">
      <c r="B201" s="82"/>
      <c r="C201" s="114" t="s">
        <v>354</v>
      </c>
      <c r="D201" s="117" t="s">
        <v>363</v>
      </c>
      <c r="E201" s="119">
        <f>15*2500*2*5</f>
        <v>375000</v>
      </c>
      <c r="F201" s="112"/>
    </row>
    <row r="202" spans="1:6" x14ac:dyDescent="0.25">
      <c r="B202" s="82"/>
      <c r="C202" s="114" t="s">
        <v>367</v>
      </c>
      <c r="D202" s="117" t="s">
        <v>368</v>
      </c>
      <c r="E202" s="119">
        <v>70000</v>
      </c>
      <c r="F202" s="112"/>
    </row>
    <row r="203" spans="1:6" x14ac:dyDescent="0.25">
      <c r="A203" s="27"/>
      <c r="B203" s="82"/>
      <c r="C203" s="114" t="s">
        <v>355</v>
      </c>
      <c r="D203" s="117" t="s">
        <v>146</v>
      </c>
      <c r="E203" s="119">
        <f>1000*120</f>
        <v>120000</v>
      </c>
      <c r="F203" s="112"/>
    </row>
    <row r="204" spans="1:6" x14ac:dyDescent="0.25">
      <c r="A204" s="4"/>
      <c r="C204" s="120" t="s">
        <v>0</v>
      </c>
      <c r="D204" s="121"/>
      <c r="E204" s="112"/>
      <c r="F204" s="122">
        <f>SUM(E196:E203)</f>
        <v>1279600</v>
      </c>
    </row>
    <row r="205" spans="1:6" x14ac:dyDescent="0.25">
      <c r="A205" s="4"/>
      <c r="B205" s="63"/>
      <c r="C205" s="13"/>
      <c r="D205" s="14"/>
      <c r="E205" s="19"/>
      <c r="F205" s="15"/>
    </row>
    <row r="206" spans="1:6" x14ac:dyDescent="0.25">
      <c r="A206" s="4"/>
      <c r="B206" s="73" t="s">
        <v>366</v>
      </c>
      <c r="C206" s="73" t="s">
        <v>369</v>
      </c>
      <c r="D206" s="28"/>
      <c r="E206" s="21"/>
      <c r="F206" s="22"/>
    </row>
    <row r="207" spans="1:6" ht="56.1" customHeight="1" x14ac:dyDescent="0.25">
      <c r="A207" s="4"/>
      <c r="B207" s="63"/>
      <c r="C207" s="224" t="s">
        <v>370</v>
      </c>
      <c r="D207" s="224"/>
      <c r="E207" s="224"/>
      <c r="F207" s="224"/>
    </row>
    <row r="208" spans="1:6" x14ac:dyDescent="0.25">
      <c r="B208" s="82"/>
      <c r="C208" s="11" t="s">
        <v>371</v>
      </c>
      <c r="D208" s="11" t="s">
        <v>372</v>
      </c>
      <c r="E208" s="9">
        <v>240000</v>
      </c>
      <c r="F208" s="21"/>
    </row>
    <row r="209" spans="1:6" x14ac:dyDescent="0.25">
      <c r="B209" s="82"/>
      <c r="C209" s="11" t="s">
        <v>309</v>
      </c>
      <c r="D209" s="11" t="s">
        <v>373</v>
      </c>
      <c r="E209" s="9">
        <f>70000*5</f>
        <v>350000</v>
      </c>
      <c r="F209" s="115"/>
    </row>
    <row r="210" spans="1:6" x14ac:dyDescent="0.25">
      <c r="B210" s="82"/>
      <c r="C210" s="11" t="s">
        <v>106</v>
      </c>
      <c r="D210" s="11" t="s">
        <v>226</v>
      </c>
      <c r="E210" s="9">
        <f>250*5*3*120</f>
        <v>450000</v>
      </c>
      <c r="F210" s="115"/>
    </row>
    <row r="211" spans="1:6" x14ac:dyDescent="0.25">
      <c r="B211" s="82"/>
      <c r="C211" s="11" t="s">
        <v>374</v>
      </c>
      <c r="D211" s="11" t="s">
        <v>375</v>
      </c>
      <c r="E211" s="9">
        <f>150*5*120</f>
        <v>90000</v>
      </c>
      <c r="F211" s="115"/>
    </row>
    <row r="212" spans="1:6" x14ac:dyDescent="0.25">
      <c r="B212" s="82"/>
      <c r="C212" s="87" t="s">
        <v>206</v>
      </c>
      <c r="D212" s="11" t="s">
        <v>185</v>
      </c>
      <c r="E212" s="9">
        <v>250000</v>
      </c>
      <c r="F212" s="116"/>
    </row>
    <row r="213" spans="1:6" x14ac:dyDescent="0.25">
      <c r="B213" s="82"/>
      <c r="C213" s="87" t="s">
        <v>60</v>
      </c>
      <c r="D213" s="11" t="s">
        <v>376</v>
      </c>
      <c r="E213" s="9">
        <v>0</v>
      </c>
      <c r="F213" s="116"/>
    </row>
    <row r="214" spans="1:6" x14ac:dyDescent="0.25">
      <c r="A214" s="27"/>
      <c r="B214" s="82"/>
      <c r="C214" s="11" t="s">
        <v>6</v>
      </c>
      <c r="D214" s="11" t="s">
        <v>227</v>
      </c>
      <c r="E214" s="9">
        <f>15*2*4*120</f>
        <v>14400</v>
      </c>
      <c r="F214" s="115"/>
    </row>
    <row r="215" spans="1:6" x14ac:dyDescent="0.25">
      <c r="A215" s="4"/>
      <c r="B215" s="74"/>
      <c r="C215" s="18" t="s">
        <v>0</v>
      </c>
      <c r="D215" s="28"/>
      <c r="E215" s="1"/>
      <c r="F215" s="22">
        <f>SUM(E208:E214)</f>
        <v>1394400</v>
      </c>
    </row>
    <row r="216" spans="1:6" x14ac:dyDescent="0.25">
      <c r="A216" s="4"/>
      <c r="B216" s="63"/>
      <c r="C216" s="13"/>
      <c r="D216" s="14"/>
      <c r="E216" s="19"/>
      <c r="F216" s="15"/>
    </row>
    <row r="217" spans="1:6" ht="17.25" customHeight="1" x14ac:dyDescent="0.25">
      <c r="B217" s="6" t="s">
        <v>409</v>
      </c>
      <c r="C217" s="228" t="s">
        <v>405</v>
      </c>
      <c r="D217" s="228"/>
      <c r="E217" s="21"/>
      <c r="F217" s="21"/>
    </row>
    <row r="218" spans="1:6" s="2" customFormat="1" ht="42" customHeight="1" x14ac:dyDescent="0.25">
      <c r="A218" s="27"/>
      <c r="B218" s="79"/>
      <c r="C218" s="220" t="s">
        <v>406</v>
      </c>
      <c r="D218" s="220"/>
      <c r="E218" s="220"/>
      <c r="F218" s="221"/>
    </row>
    <row r="219" spans="1:6" x14ac:dyDescent="0.25">
      <c r="B219" s="81"/>
      <c r="C219" s="20" t="s">
        <v>407</v>
      </c>
      <c r="D219" s="32"/>
      <c r="E219" s="30">
        <f>5000000+1000000</f>
        <v>6000000</v>
      </c>
      <c r="F219" s="31"/>
    </row>
    <row r="220" spans="1:6" x14ac:dyDescent="0.25">
      <c r="B220" s="81"/>
      <c r="C220" s="20" t="s">
        <v>408</v>
      </c>
      <c r="D220" s="32"/>
      <c r="E220" s="30">
        <v>540123.43000000005</v>
      </c>
      <c r="F220" s="31"/>
    </row>
    <row r="221" spans="1:6" x14ac:dyDescent="0.25">
      <c r="B221" s="74"/>
      <c r="C221" s="18" t="s">
        <v>0</v>
      </c>
      <c r="D221" s="28"/>
      <c r="E221" s="1"/>
      <c r="F221" s="22">
        <f>SUM(E219:E220)</f>
        <v>6540123.4299999997</v>
      </c>
    </row>
    <row r="222" spans="1:6" x14ac:dyDescent="0.25">
      <c r="B222" s="63"/>
      <c r="C222" s="13"/>
      <c r="D222" s="14"/>
      <c r="E222" s="19"/>
      <c r="F222" s="15"/>
    </row>
    <row r="223" spans="1:6" s="2" customFormat="1" x14ac:dyDescent="0.25">
      <c r="A223" s="27"/>
      <c r="B223" s="67"/>
      <c r="C223" s="77"/>
      <c r="D223" s="16" t="s">
        <v>21</v>
      </c>
      <c r="E223" s="49"/>
      <c r="F223" s="48">
        <f>F39+F50+F60+F73+F88+F93+F98+F104+F114+F123+F136+F142+F151+F156+F161+F166+F171+F176+F182+F187+F192+F204+F215+F221</f>
        <v>77383123.430000007</v>
      </c>
    </row>
    <row r="224" spans="1:6" x14ac:dyDescent="0.25">
      <c r="B224" s="6">
        <v>3</v>
      </c>
      <c r="C224" s="17" t="s">
        <v>116</v>
      </c>
      <c r="E224" s="21"/>
      <c r="F224" s="21"/>
    </row>
    <row r="225" spans="1:6" x14ac:dyDescent="0.25">
      <c r="C225" s="17"/>
      <c r="E225" s="21"/>
      <c r="F225" s="21"/>
    </row>
    <row r="226" spans="1:6" x14ac:dyDescent="0.25">
      <c r="B226" s="6" t="s">
        <v>131</v>
      </c>
      <c r="C226" s="28" t="s">
        <v>104</v>
      </c>
      <c r="E226" s="21"/>
      <c r="F226" s="21"/>
    </row>
    <row r="227" spans="1:6" ht="43.35" customHeight="1" x14ac:dyDescent="0.25">
      <c r="B227" s="79"/>
      <c r="C227" s="246" t="s">
        <v>276</v>
      </c>
      <c r="D227" s="246"/>
      <c r="E227" s="246"/>
      <c r="F227" s="246"/>
    </row>
    <row r="228" spans="1:6" ht="33.950000000000003" customHeight="1" x14ac:dyDescent="0.25">
      <c r="B228" s="82"/>
      <c r="C228" s="11" t="s">
        <v>324</v>
      </c>
      <c r="D228" s="9"/>
      <c r="E228" s="9">
        <v>1120000</v>
      </c>
      <c r="F228" s="21"/>
    </row>
    <row r="229" spans="1:6" x14ac:dyDescent="0.25">
      <c r="C229" s="23" t="s">
        <v>0</v>
      </c>
      <c r="E229" s="21"/>
      <c r="F229" s="22">
        <f>E228</f>
        <v>1120000</v>
      </c>
    </row>
    <row r="230" spans="1:6" x14ac:dyDescent="0.25">
      <c r="B230" s="79"/>
      <c r="C230" s="13"/>
      <c r="D230" s="14"/>
      <c r="E230" s="19"/>
      <c r="F230" s="15"/>
    </row>
    <row r="231" spans="1:6" s="2" customFormat="1" x14ac:dyDescent="0.25">
      <c r="A231" s="5"/>
      <c r="B231" s="80" t="s">
        <v>132</v>
      </c>
      <c r="C231" s="26" t="s">
        <v>107</v>
      </c>
      <c r="D231" s="155"/>
      <c r="E231" s="156"/>
      <c r="F231" s="156"/>
    </row>
    <row r="232" spans="1:6" s="3" customFormat="1" ht="18" customHeight="1" x14ac:dyDescent="0.25">
      <c r="A232" s="5"/>
      <c r="B232" s="7"/>
      <c r="C232" s="229" t="s">
        <v>277</v>
      </c>
      <c r="D232" s="229"/>
      <c r="E232" s="229"/>
      <c r="F232" s="229"/>
    </row>
    <row r="233" spans="1:6" s="2" customFormat="1" ht="15.75" customHeight="1" x14ac:dyDescent="0.25">
      <c r="A233" s="27"/>
      <c r="B233" s="81"/>
      <c r="C233" s="244" t="s">
        <v>278</v>
      </c>
      <c r="D233" s="245"/>
      <c r="E233" s="30">
        <v>500000</v>
      </c>
      <c r="F233" s="56"/>
    </row>
    <row r="234" spans="1:6" s="2" customFormat="1" x14ac:dyDescent="0.25">
      <c r="A234" s="27"/>
      <c r="B234" s="80"/>
      <c r="C234" s="51" t="s">
        <v>108</v>
      </c>
      <c r="D234" s="51"/>
      <c r="E234" s="30">
        <v>500000</v>
      </c>
      <c r="F234" s="43"/>
    </row>
    <row r="235" spans="1:6" s="2" customFormat="1" x14ac:dyDescent="0.25">
      <c r="A235" s="5"/>
      <c r="B235" s="80"/>
      <c r="C235" s="23" t="s">
        <v>0</v>
      </c>
      <c r="D235" s="5"/>
      <c r="E235" s="46"/>
      <c r="F235" s="22">
        <f>SUM(E233:E234)</f>
        <v>1000000</v>
      </c>
    </row>
    <row r="236" spans="1:6" s="2" customFormat="1" x14ac:dyDescent="0.25">
      <c r="A236" s="5"/>
      <c r="B236" s="7"/>
      <c r="C236" s="157"/>
      <c r="D236" s="157"/>
      <c r="E236" s="158"/>
      <c r="F236" s="158"/>
    </row>
    <row r="237" spans="1:6" s="2" customFormat="1" x14ac:dyDescent="0.25">
      <c r="A237" s="5"/>
      <c r="B237" s="80" t="s">
        <v>133</v>
      </c>
      <c r="C237" s="26" t="s">
        <v>198</v>
      </c>
      <c r="D237" s="155"/>
      <c r="E237" s="156"/>
      <c r="F237" s="156"/>
    </row>
    <row r="238" spans="1:6" s="2" customFormat="1" ht="39.6" customHeight="1" x14ac:dyDescent="0.25">
      <c r="A238" s="5"/>
      <c r="B238" s="79"/>
      <c r="C238" s="229" t="s">
        <v>454</v>
      </c>
      <c r="D238" s="229"/>
      <c r="E238" s="229"/>
      <c r="F238" s="229"/>
    </row>
    <row r="239" spans="1:6" s="2" customFormat="1" x14ac:dyDescent="0.25">
      <c r="A239" s="27"/>
      <c r="B239" s="81"/>
      <c r="C239" s="51" t="s">
        <v>411</v>
      </c>
      <c r="D239" s="51"/>
      <c r="E239" s="30">
        <v>1000000</v>
      </c>
      <c r="F239" s="159"/>
    </row>
    <row r="240" spans="1:6" s="2" customFormat="1" x14ac:dyDescent="0.25">
      <c r="A240" s="5"/>
      <c r="B240" s="80"/>
      <c r="C240" s="23" t="s">
        <v>0</v>
      </c>
      <c r="D240" s="5"/>
      <c r="E240" s="46"/>
      <c r="F240" s="22">
        <f>SUM(E239:E239)</f>
        <v>1000000</v>
      </c>
    </row>
    <row r="241" spans="1:6" s="2" customFormat="1" x14ac:dyDescent="0.25">
      <c r="A241" s="64"/>
      <c r="B241" s="53"/>
      <c r="C241" s="243"/>
      <c r="D241" s="243"/>
      <c r="E241" s="243"/>
      <c r="F241" s="243"/>
    </row>
    <row r="242" spans="1:6" s="2" customFormat="1" x14ac:dyDescent="0.25">
      <c r="A242" s="27"/>
      <c r="B242" s="80" t="s">
        <v>134</v>
      </c>
      <c r="C242" s="24" t="s">
        <v>121</v>
      </c>
      <c r="D242" s="5"/>
      <c r="E242" s="46"/>
      <c r="F242" s="22"/>
    </row>
    <row r="243" spans="1:6" s="2" customFormat="1" ht="51.6" customHeight="1" x14ac:dyDescent="0.25">
      <c r="A243" s="27"/>
      <c r="B243" s="79"/>
      <c r="C243" s="229" t="s">
        <v>279</v>
      </c>
      <c r="D243" s="229"/>
      <c r="E243" s="229"/>
      <c r="F243" s="229"/>
    </row>
    <row r="244" spans="1:6" s="2" customFormat="1" ht="21" customHeight="1" x14ac:dyDescent="0.25">
      <c r="A244" s="27"/>
      <c r="B244" s="81"/>
      <c r="C244" s="51" t="s">
        <v>456</v>
      </c>
      <c r="D244" s="27"/>
      <c r="E244" s="38">
        <v>35000000</v>
      </c>
      <c r="F244" s="31"/>
    </row>
    <row r="245" spans="1:6" s="2" customFormat="1" ht="18.600000000000001" customHeight="1" x14ac:dyDescent="0.25">
      <c r="A245" s="27"/>
      <c r="B245" s="81"/>
      <c r="C245" s="51" t="s">
        <v>150</v>
      </c>
      <c r="D245" s="27"/>
      <c r="E245" s="38">
        <v>300000</v>
      </c>
      <c r="F245" s="31"/>
    </row>
    <row r="246" spans="1:6" s="2" customFormat="1" x14ac:dyDescent="0.25">
      <c r="A246" s="27"/>
      <c r="B246" s="81"/>
      <c r="C246" s="51" t="s">
        <v>151</v>
      </c>
      <c r="D246" s="27"/>
      <c r="E246" s="38">
        <v>200000</v>
      </c>
      <c r="F246" s="31"/>
    </row>
    <row r="247" spans="1:6" s="2" customFormat="1" x14ac:dyDescent="0.25">
      <c r="A247" s="27"/>
      <c r="B247" s="80"/>
      <c r="C247" s="23" t="s">
        <v>0</v>
      </c>
      <c r="D247" s="5"/>
      <c r="E247" s="46"/>
      <c r="F247" s="22">
        <f>SUM(E244:E246)</f>
        <v>35500000</v>
      </c>
    </row>
    <row r="248" spans="1:6" s="2" customFormat="1" x14ac:dyDescent="0.25">
      <c r="A248" s="101"/>
      <c r="B248" s="53"/>
      <c r="C248" s="243"/>
      <c r="D248" s="243"/>
      <c r="E248" s="243"/>
      <c r="F248" s="243"/>
    </row>
    <row r="249" spans="1:6" x14ac:dyDescent="0.25">
      <c r="A249" s="123"/>
      <c r="B249" s="124" t="s">
        <v>135</v>
      </c>
      <c r="C249" s="125" t="s">
        <v>154</v>
      </c>
      <c r="D249" s="125"/>
      <c r="E249" s="112"/>
      <c r="F249" s="122"/>
    </row>
    <row r="250" spans="1:6" ht="37.35" customHeight="1" x14ac:dyDescent="0.25">
      <c r="A250" s="123"/>
      <c r="B250" s="126"/>
      <c r="C250" s="247" t="s">
        <v>280</v>
      </c>
      <c r="D250" s="247"/>
      <c r="E250" s="247"/>
      <c r="F250" s="248"/>
    </row>
    <row r="251" spans="1:6" s="2" customFormat="1" x14ac:dyDescent="0.25">
      <c r="A251" s="123"/>
      <c r="B251" s="127"/>
      <c r="C251" s="74" t="s">
        <v>92</v>
      </c>
      <c r="D251" s="11" t="s">
        <v>455</v>
      </c>
      <c r="E251" s="21">
        <v>120000</v>
      </c>
      <c r="F251" s="21"/>
    </row>
    <row r="252" spans="1:6" s="2" customFormat="1" x14ac:dyDescent="0.25">
      <c r="A252" s="123"/>
      <c r="B252" s="130"/>
      <c r="C252" s="183" t="s">
        <v>0</v>
      </c>
      <c r="D252" s="217"/>
      <c r="E252" s="21"/>
      <c r="F252" s="218">
        <f>SUM(E251:E251)</f>
        <v>120000</v>
      </c>
    </row>
    <row r="253" spans="1:6" s="2" customFormat="1" x14ac:dyDescent="0.25">
      <c r="A253" s="101"/>
      <c r="B253" s="243"/>
      <c r="C253" s="243"/>
      <c r="D253" s="243"/>
      <c r="E253" s="243"/>
      <c r="F253" s="102"/>
    </row>
    <row r="254" spans="1:6" x14ac:dyDescent="0.25">
      <c r="A254" s="123"/>
      <c r="B254" s="124" t="s">
        <v>136</v>
      </c>
      <c r="C254" s="125" t="s">
        <v>101</v>
      </c>
      <c r="D254" s="125"/>
      <c r="E254" s="112"/>
      <c r="F254" s="122"/>
    </row>
    <row r="255" spans="1:6" ht="65.099999999999994" customHeight="1" x14ac:dyDescent="0.25">
      <c r="A255" s="123"/>
      <c r="B255" s="126"/>
      <c r="C255" s="247" t="s">
        <v>91</v>
      </c>
      <c r="D255" s="247"/>
      <c r="E255" s="247"/>
      <c r="F255" s="248"/>
    </row>
    <row r="256" spans="1:6" s="2" customFormat="1" x14ac:dyDescent="0.25">
      <c r="A256" s="123"/>
      <c r="B256" s="127"/>
      <c r="C256" s="128" t="s">
        <v>92</v>
      </c>
      <c r="D256" s="129" t="s">
        <v>381</v>
      </c>
      <c r="E256" s="112">
        <v>180000</v>
      </c>
      <c r="F256" s="112"/>
    </row>
    <row r="257" spans="1:6" s="2" customFormat="1" x14ac:dyDescent="0.25">
      <c r="A257" s="123"/>
      <c r="B257" s="127"/>
      <c r="C257" s="132" t="s">
        <v>93</v>
      </c>
      <c r="D257" s="131" t="s">
        <v>378</v>
      </c>
      <c r="E257" s="112">
        <v>40000</v>
      </c>
      <c r="F257" s="112"/>
    </row>
    <row r="258" spans="1:6" x14ac:dyDescent="0.25">
      <c r="A258" s="123"/>
      <c r="B258" s="124"/>
      <c r="C258" s="121" t="s">
        <v>0</v>
      </c>
      <c r="D258" s="111"/>
      <c r="E258" s="112"/>
      <c r="F258" s="113">
        <f>SUM(E256:E257)</f>
        <v>220000</v>
      </c>
    </row>
    <row r="259" spans="1:6" s="2" customFormat="1" x14ac:dyDescent="0.25">
      <c r="A259" s="101"/>
      <c r="B259" s="243"/>
      <c r="C259" s="243"/>
      <c r="D259" s="243"/>
      <c r="E259" s="243"/>
      <c r="F259" s="102"/>
    </row>
    <row r="260" spans="1:6" x14ac:dyDescent="0.25">
      <c r="A260" s="132"/>
      <c r="B260" s="124" t="s">
        <v>137</v>
      </c>
      <c r="C260" s="125" t="s">
        <v>102</v>
      </c>
      <c r="D260" s="125"/>
      <c r="E260" s="129"/>
      <c r="F260" s="129"/>
    </row>
    <row r="261" spans="1:6" ht="35.1" customHeight="1" x14ac:dyDescent="0.25">
      <c r="A261" s="123"/>
      <c r="B261" s="126"/>
      <c r="C261" s="247" t="s">
        <v>379</v>
      </c>
      <c r="D261" s="247"/>
      <c r="E261" s="247"/>
      <c r="F261" s="262"/>
    </row>
    <row r="262" spans="1:6" s="2" customFormat="1" x14ac:dyDescent="0.25">
      <c r="A262" s="123"/>
      <c r="B262" s="127"/>
      <c r="C262" s="129" t="s">
        <v>90</v>
      </c>
      <c r="D262" s="129"/>
      <c r="E262" s="112">
        <v>200000</v>
      </c>
      <c r="F262" s="112"/>
    </row>
    <row r="263" spans="1:6" x14ac:dyDescent="0.25">
      <c r="A263" s="123"/>
      <c r="B263" s="124"/>
      <c r="C263" s="121" t="s">
        <v>0</v>
      </c>
      <c r="D263" s="111"/>
      <c r="E263" s="129"/>
      <c r="F263" s="113">
        <f>SUM(E262:E262)</f>
        <v>200000</v>
      </c>
    </row>
    <row r="264" spans="1:6" x14ac:dyDescent="0.25">
      <c r="A264" s="64"/>
      <c r="B264" s="53"/>
      <c r="C264" s="68"/>
      <c r="D264" s="98"/>
      <c r="E264" s="100"/>
      <c r="F264" s="70"/>
    </row>
    <row r="265" spans="1:6" x14ac:dyDescent="0.25">
      <c r="A265" s="27"/>
      <c r="B265" s="6" t="s">
        <v>138</v>
      </c>
      <c r="C265" s="28" t="s">
        <v>398</v>
      </c>
      <c r="D265" s="28"/>
      <c r="E265" s="11"/>
      <c r="F265" s="11"/>
    </row>
    <row r="266" spans="1:6" ht="80.25" customHeight="1" x14ac:dyDescent="0.25">
      <c r="A266" s="27"/>
      <c r="B266" s="79"/>
      <c r="C266" s="264" t="s">
        <v>404</v>
      </c>
      <c r="D266" s="264"/>
      <c r="E266" s="264"/>
      <c r="F266" s="265"/>
    </row>
    <row r="267" spans="1:6" s="94" customFormat="1" x14ac:dyDescent="0.25">
      <c r="A267" s="149"/>
      <c r="B267" s="81"/>
      <c r="C267" s="149" t="s">
        <v>281</v>
      </c>
      <c r="D267" s="20"/>
      <c r="E267" s="31">
        <v>10000000</v>
      </c>
      <c r="F267" s="150"/>
    </row>
    <row r="268" spans="1:6" s="54" customFormat="1" x14ac:dyDescent="0.25">
      <c r="A268" s="151"/>
      <c r="B268" s="152"/>
      <c r="C268" s="153" t="s">
        <v>0</v>
      </c>
      <c r="D268" s="154"/>
      <c r="E268" s="154"/>
      <c r="F268" s="12">
        <f>SUM(E267:E267)</f>
        <v>10000000</v>
      </c>
    </row>
    <row r="269" spans="1:6" x14ac:dyDescent="0.25">
      <c r="A269" s="64"/>
      <c r="B269" s="53"/>
      <c r="C269" s="68"/>
      <c r="D269" s="98"/>
      <c r="E269" s="100"/>
      <c r="F269" s="70"/>
    </row>
    <row r="270" spans="1:6" ht="21" customHeight="1" x14ac:dyDescent="0.25">
      <c r="A270" s="132"/>
      <c r="B270" s="138" t="s">
        <v>139</v>
      </c>
      <c r="C270" s="133" t="s">
        <v>282</v>
      </c>
      <c r="D270" s="134"/>
      <c r="E270" s="110"/>
      <c r="F270" s="135"/>
    </row>
    <row r="271" spans="1:6" ht="35.1" customHeight="1" x14ac:dyDescent="0.25">
      <c r="A271" s="132"/>
      <c r="B271" s="126"/>
      <c r="C271" s="249" t="s">
        <v>412</v>
      </c>
      <c r="D271" s="250"/>
      <c r="E271" s="250"/>
      <c r="F271" s="250"/>
    </row>
    <row r="272" spans="1:6" s="2" customFormat="1" ht="31.5" x14ac:dyDescent="0.25">
      <c r="A272" s="123"/>
      <c r="B272" s="136"/>
      <c r="C272" s="136" t="s">
        <v>413</v>
      </c>
      <c r="D272" s="137"/>
      <c r="E272" s="110">
        <v>10000000</v>
      </c>
      <c r="F272" s="110"/>
    </row>
    <row r="273" spans="1:6" x14ac:dyDescent="0.25">
      <c r="A273" s="123"/>
      <c r="B273" s="133"/>
      <c r="C273" s="132"/>
      <c r="D273" s="134" t="s">
        <v>153</v>
      </c>
      <c r="E273" s="110"/>
      <c r="F273" s="135">
        <f>SUM(E272:E272)</f>
        <v>10000000</v>
      </c>
    </row>
    <row r="274" spans="1:6" x14ac:dyDescent="0.25">
      <c r="A274" s="123"/>
      <c r="B274" s="126"/>
      <c r="C274" s="139"/>
      <c r="D274" s="140"/>
      <c r="E274" s="141"/>
      <c r="F274" s="142"/>
    </row>
    <row r="275" spans="1:6" s="2" customFormat="1" x14ac:dyDescent="0.25">
      <c r="A275" s="123"/>
      <c r="B275" s="133" t="s">
        <v>155</v>
      </c>
      <c r="C275" s="133" t="s">
        <v>380</v>
      </c>
      <c r="D275" s="134"/>
      <c r="E275" s="143"/>
      <c r="F275" s="135"/>
    </row>
    <row r="276" spans="1:6" ht="51" customHeight="1" x14ac:dyDescent="0.25">
      <c r="A276" s="123"/>
      <c r="B276" s="126"/>
      <c r="C276" s="249" t="s">
        <v>283</v>
      </c>
      <c r="D276" s="255"/>
      <c r="E276" s="255"/>
      <c r="F276" s="255"/>
    </row>
    <row r="277" spans="1:6" s="60" customFormat="1" ht="19.350000000000001" customHeight="1" x14ac:dyDescent="0.25">
      <c r="A277" s="123"/>
      <c r="B277" s="136"/>
      <c r="C277" s="136" t="s">
        <v>152</v>
      </c>
      <c r="D277" s="137"/>
      <c r="E277" s="110">
        <v>1000000</v>
      </c>
      <c r="F277" s="110"/>
    </row>
    <row r="278" spans="1:6" s="2" customFormat="1" x14ac:dyDescent="0.25">
      <c r="A278" s="123"/>
      <c r="B278" s="133"/>
      <c r="C278" s="132"/>
      <c r="D278" s="134" t="s">
        <v>153</v>
      </c>
      <c r="E278" s="110"/>
      <c r="F278" s="135">
        <f>SUM(E277:E277)</f>
        <v>1000000</v>
      </c>
    </row>
    <row r="279" spans="1:6" x14ac:dyDescent="0.25">
      <c r="A279" s="101"/>
      <c r="B279" s="53"/>
      <c r="C279" s="68"/>
      <c r="D279" s="98"/>
      <c r="E279" s="107"/>
      <c r="F279" s="70"/>
    </row>
    <row r="280" spans="1:6" x14ac:dyDescent="0.25">
      <c r="A280" s="64"/>
      <c r="B280" s="67"/>
      <c r="C280" s="108"/>
      <c r="D280" s="160" t="s">
        <v>119</v>
      </c>
      <c r="E280" s="161"/>
      <c r="F280" s="162">
        <f>F229+F235+F240+F247+F252+F258+F263+F268+F273+F278</f>
        <v>60160000</v>
      </c>
    </row>
    <row r="281" spans="1:6" ht="21" customHeight="1" x14ac:dyDescent="0.25">
      <c r="A281" s="4"/>
      <c r="B281" s="34">
        <v>4</v>
      </c>
      <c r="C281" s="34" t="s">
        <v>183</v>
      </c>
      <c r="D281" s="39"/>
      <c r="E281" s="31"/>
      <c r="F281" s="150"/>
    </row>
    <row r="282" spans="1:6" ht="281.10000000000002" customHeight="1" x14ac:dyDescent="0.25">
      <c r="B282" s="79"/>
      <c r="C282" s="252" t="s">
        <v>410</v>
      </c>
      <c r="D282" s="253"/>
      <c r="E282" s="253"/>
      <c r="F282" s="253"/>
    </row>
    <row r="283" spans="1:6" ht="17.100000000000001" customHeight="1" x14ac:dyDescent="0.25">
      <c r="C283" s="163" t="s">
        <v>252</v>
      </c>
      <c r="D283" s="163"/>
      <c r="E283" s="8"/>
      <c r="F283" s="5"/>
    </row>
    <row r="284" spans="1:6" ht="17.100000000000001" customHeight="1" x14ac:dyDescent="0.25">
      <c r="B284" s="79"/>
      <c r="C284" s="229"/>
      <c r="D284" s="229"/>
      <c r="E284" s="229"/>
      <c r="F284" s="254"/>
    </row>
    <row r="285" spans="1:6" s="2" customFormat="1" ht="17.100000000000001" customHeight="1" x14ac:dyDescent="0.25">
      <c r="A285" s="27"/>
      <c r="B285" s="81"/>
      <c r="C285" s="164" t="s">
        <v>386</v>
      </c>
      <c r="D285" s="164" t="s">
        <v>399</v>
      </c>
      <c r="E285" s="165">
        <f>30400*2-800</f>
        <v>60000</v>
      </c>
      <c r="F285" s="166"/>
    </row>
    <row r="286" spans="1:6" s="2" customFormat="1" ht="17.100000000000001" customHeight="1" x14ac:dyDescent="0.25">
      <c r="A286" s="27"/>
      <c r="B286" s="81"/>
      <c r="C286" s="164" t="s">
        <v>383</v>
      </c>
      <c r="D286" s="164" t="s">
        <v>382</v>
      </c>
      <c r="E286" s="165">
        <f>108100*7+300</f>
        <v>757000</v>
      </c>
      <c r="F286" s="166"/>
    </row>
    <row r="287" spans="1:6" s="2" customFormat="1" ht="17.100000000000001" customHeight="1" x14ac:dyDescent="0.25">
      <c r="A287" s="27"/>
      <c r="B287" s="81"/>
      <c r="C287" s="164" t="s">
        <v>385</v>
      </c>
      <c r="D287" s="164" t="s">
        <v>384</v>
      </c>
      <c r="E287" s="165">
        <v>80000</v>
      </c>
      <c r="F287" s="166"/>
    </row>
    <row r="288" spans="1:6" s="2" customFormat="1" ht="17.100000000000001" customHeight="1" x14ac:dyDescent="0.25">
      <c r="A288" s="27"/>
      <c r="B288" s="81"/>
      <c r="C288" s="164" t="s">
        <v>387</v>
      </c>
      <c r="D288" s="164" t="s">
        <v>400</v>
      </c>
      <c r="E288" s="165">
        <f>40000*12</f>
        <v>480000</v>
      </c>
      <c r="F288" s="166"/>
    </row>
    <row r="289" spans="1:6" s="2" customFormat="1" ht="17.100000000000001" customHeight="1" x14ac:dyDescent="0.25">
      <c r="A289" s="27"/>
      <c r="B289" s="81"/>
      <c r="C289" s="164" t="s">
        <v>388</v>
      </c>
      <c r="D289" s="164" t="s">
        <v>401</v>
      </c>
      <c r="E289" s="165">
        <f>30000*6</f>
        <v>180000</v>
      </c>
      <c r="F289" s="166"/>
    </row>
    <row r="290" spans="1:6" ht="17.100000000000001" customHeight="1" x14ac:dyDescent="0.25">
      <c r="A290" s="27"/>
      <c r="B290" s="80"/>
      <c r="C290" s="167" t="s">
        <v>0</v>
      </c>
      <c r="D290" s="27"/>
      <c r="E290" s="27"/>
      <c r="F290" s="35">
        <f>SUM(E285:E289)</f>
        <v>1557000</v>
      </c>
    </row>
    <row r="291" spans="1:6" ht="17.100000000000001" customHeight="1" x14ac:dyDescent="0.25">
      <c r="C291" s="163" t="s">
        <v>161</v>
      </c>
      <c r="D291" s="163"/>
      <c r="E291" s="8"/>
      <c r="F291" s="5"/>
    </row>
    <row r="292" spans="1:6" ht="17.100000000000001" customHeight="1" x14ac:dyDescent="0.25">
      <c r="B292" s="79"/>
      <c r="C292" s="229" t="s">
        <v>253</v>
      </c>
      <c r="D292" s="229"/>
      <c r="E292" s="229"/>
      <c r="F292" s="254"/>
    </row>
    <row r="293" spans="1:6" s="2" customFormat="1" ht="17.100000000000001" customHeight="1" x14ac:dyDescent="0.25">
      <c r="A293" s="27"/>
      <c r="B293" s="81"/>
      <c r="C293" s="54" t="s">
        <v>254</v>
      </c>
      <c r="D293" s="164" t="s">
        <v>389</v>
      </c>
      <c r="E293" s="165">
        <f>3250*3*2*3+500</f>
        <v>59000</v>
      </c>
      <c r="F293" s="166"/>
    </row>
    <row r="294" spans="1:6" s="2" customFormat="1" ht="17.100000000000001" customHeight="1" x14ac:dyDescent="0.25">
      <c r="A294" s="27"/>
      <c r="B294" s="81"/>
      <c r="C294" s="164" t="s">
        <v>255</v>
      </c>
      <c r="D294" s="164" t="s">
        <v>256</v>
      </c>
      <c r="E294" s="165">
        <f>12000*2*2*3</f>
        <v>144000</v>
      </c>
      <c r="F294" s="166"/>
    </row>
    <row r="295" spans="1:6" s="2" customFormat="1" ht="17.100000000000001" customHeight="1" x14ac:dyDescent="0.25">
      <c r="A295" s="27"/>
      <c r="B295" s="81"/>
      <c r="C295" s="164" t="s">
        <v>162</v>
      </c>
      <c r="D295" s="164" t="s">
        <v>390</v>
      </c>
      <c r="E295" s="165">
        <f>50000*3</f>
        <v>150000</v>
      </c>
      <c r="F295" s="166"/>
    </row>
    <row r="296" spans="1:6" ht="17.100000000000001" customHeight="1" x14ac:dyDescent="0.25">
      <c r="A296" s="27"/>
      <c r="B296" s="80"/>
      <c r="C296" s="167" t="s">
        <v>0</v>
      </c>
      <c r="D296" s="27"/>
      <c r="E296" s="27"/>
      <c r="F296" s="35">
        <f>SUM(E293:E295)</f>
        <v>353000</v>
      </c>
    </row>
    <row r="297" spans="1:6" ht="17.100000000000001" customHeight="1" x14ac:dyDescent="0.25">
      <c r="B297" s="79"/>
      <c r="C297" s="13"/>
      <c r="D297" s="14"/>
      <c r="E297" s="168"/>
      <c r="F297" s="15"/>
    </row>
    <row r="298" spans="1:6" ht="17.100000000000001" customHeight="1" x14ac:dyDescent="0.25">
      <c r="C298" s="163" t="s">
        <v>163</v>
      </c>
      <c r="E298" s="169"/>
      <c r="F298" s="170"/>
    </row>
    <row r="299" spans="1:6" ht="39" customHeight="1" x14ac:dyDescent="0.25">
      <c r="B299" s="79"/>
      <c r="C299" s="229" t="s">
        <v>257</v>
      </c>
      <c r="D299" s="229"/>
      <c r="E299" s="229"/>
      <c r="F299" s="229"/>
    </row>
    <row r="300" spans="1:6" s="2" customFormat="1" ht="28.5" customHeight="1" x14ac:dyDescent="0.25">
      <c r="A300" s="27"/>
      <c r="B300" s="81"/>
      <c r="C300" s="164" t="s">
        <v>258</v>
      </c>
      <c r="D300" s="164" t="s">
        <v>259</v>
      </c>
      <c r="E300" s="171">
        <f>2*45000+80000*2</f>
        <v>250000</v>
      </c>
      <c r="F300" s="31"/>
    </row>
    <row r="301" spans="1:6" s="2" customFormat="1" ht="17.100000000000001" customHeight="1" x14ac:dyDescent="0.25">
      <c r="A301" s="27"/>
      <c r="B301" s="81"/>
      <c r="C301" s="164" t="s">
        <v>260</v>
      </c>
      <c r="D301" s="164" t="s">
        <v>261</v>
      </c>
      <c r="E301" s="171">
        <f>10000*3*3</f>
        <v>90000</v>
      </c>
      <c r="F301" s="31"/>
    </row>
    <row r="302" spans="1:6" s="2" customFormat="1" ht="17.100000000000001" customHeight="1" x14ac:dyDescent="0.25">
      <c r="A302" s="27"/>
      <c r="B302" s="81"/>
      <c r="C302" s="164" t="s">
        <v>262</v>
      </c>
      <c r="D302" s="164" t="s">
        <v>392</v>
      </c>
      <c r="E302" s="171">
        <f>40000*6</f>
        <v>240000</v>
      </c>
      <c r="F302" s="31"/>
    </row>
    <row r="303" spans="1:6" s="2" customFormat="1" ht="17.100000000000001" customHeight="1" x14ac:dyDescent="0.25">
      <c r="A303" s="27"/>
      <c r="B303" s="81"/>
      <c r="C303" s="164" t="s">
        <v>263</v>
      </c>
      <c r="D303" s="164" t="s">
        <v>264</v>
      </c>
      <c r="E303" s="171">
        <v>120000</v>
      </c>
      <c r="F303" s="31"/>
    </row>
    <row r="304" spans="1:6" ht="17.100000000000001" customHeight="1" x14ac:dyDescent="0.25">
      <c r="C304" s="172" t="s">
        <v>0</v>
      </c>
      <c r="E304" s="169"/>
      <c r="F304" s="12">
        <f>SUM(E300:E303)</f>
        <v>700000</v>
      </c>
    </row>
    <row r="305" spans="1:6" ht="17.100000000000001" customHeight="1" x14ac:dyDescent="0.25">
      <c r="B305" s="79"/>
      <c r="C305" s="13"/>
      <c r="D305" s="14"/>
      <c r="E305" s="168"/>
      <c r="F305" s="15"/>
    </row>
    <row r="306" spans="1:6" ht="17.100000000000001" customHeight="1" x14ac:dyDescent="0.25">
      <c r="C306" s="163" t="s">
        <v>167</v>
      </c>
      <c r="E306" s="169"/>
      <c r="F306" s="170"/>
    </row>
    <row r="307" spans="1:6" ht="17.100000000000001" customHeight="1" x14ac:dyDescent="0.25">
      <c r="B307" s="79"/>
      <c r="C307" s="229" t="s">
        <v>164</v>
      </c>
      <c r="D307" s="229"/>
      <c r="E307" s="229"/>
      <c r="F307" s="229"/>
    </row>
    <row r="308" spans="1:6" s="2" customFormat="1" ht="17.100000000000001" customHeight="1" x14ac:dyDescent="0.25">
      <c r="A308" s="27"/>
      <c r="B308" s="81"/>
      <c r="C308" s="149" t="s">
        <v>19</v>
      </c>
      <c r="D308" s="20" t="s">
        <v>274</v>
      </c>
      <c r="E308" s="30">
        <v>40000</v>
      </c>
      <c r="F308" s="173"/>
    </row>
    <row r="309" spans="1:6" s="2" customFormat="1" ht="17.100000000000001" customHeight="1" x14ac:dyDescent="0.25">
      <c r="A309" s="27"/>
      <c r="B309" s="81"/>
      <c r="C309" s="149" t="s">
        <v>165</v>
      </c>
      <c r="D309" s="20" t="s">
        <v>275</v>
      </c>
      <c r="E309" s="30">
        <v>30000</v>
      </c>
      <c r="F309" s="173"/>
    </row>
    <row r="310" spans="1:6" s="2" customFormat="1" ht="17.100000000000001" customHeight="1" x14ac:dyDescent="0.25">
      <c r="A310" s="27"/>
      <c r="B310" s="81"/>
      <c r="C310" s="27" t="s">
        <v>265</v>
      </c>
      <c r="D310" s="20" t="s">
        <v>247</v>
      </c>
      <c r="E310" s="30">
        <v>50000</v>
      </c>
      <c r="F310" s="173"/>
    </row>
    <row r="311" spans="1:6" s="2" customFormat="1" ht="17.100000000000001" customHeight="1" x14ac:dyDescent="0.25">
      <c r="A311" s="27"/>
      <c r="B311" s="81"/>
      <c r="C311" s="149" t="s">
        <v>266</v>
      </c>
      <c r="D311" s="20" t="s">
        <v>274</v>
      </c>
      <c r="E311" s="30">
        <v>40000</v>
      </c>
      <c r="F311" s="173"/>
    </row>
    <row r="312" spans="1:6" ht="17.100000000000001" customHeight="1" x14ac:dyDescent="0.25">
      <c r="C312" s="172" t="s">
        <v>0</v>
      </c>
      <c r="E312" s="169"/>
      <c r="F312" s="12">
        <f>SUM(E308:E311)</f>
        <v>160000</v>
      </c>
    </row>
    <row r="313" spans="1:6" ht="17.100000000000001" customHeight="1" x14ac:dyDescent="0.25">
      <c r="B313" s="79"/>
      <c r="C313" s="13"/>
      <c r="D313" s="14"/>
      <c r="E313" s="168"/>
      <c r="F313" s="15"/>
    </row>
    <row r="314" spans="1:6" ht="17.100000000000001" customHeight="1" x14ac:dyDescent="0.25">
      <c r="C314" s="242" t="s">
        <v>267</v>
      </c>
      <c r="D314" s="242"/>
      <c r="E314" s="170"/>
      <c r="F314" s="169"/>
    </row>
    <row r="315" spans="1:6" ht="23.1" customHeight="1" x14ac:dyDescent="0.25">
      <c r="B315" s="79"/>
      <c r="C315" s="220" t="s">
        <v>268</v>
      </c>
      <c r="D315" s="220"/>
      <c r="E315" s="220"/>
      <c r="F315" s="251"/>
    </row>
    <row r="316" spans="1:6" s="2" customFormat="1" ht="17.100000000000001" customHeight="1" x14ac:dyDescent="0.25">
      <c r="A316" s="27"/>
      <c r="B316" s="81"/>
      <c r="C316" s="164" t="s">
        <v>166</v>
      </c>
      <c r="D316" s="164" t="s">
        <v>269</v>
      </c>
      <c r="E316" s="171">
        <v>200000</v>
      </c>
      <c r="F316" s="31"/>
    </row>
    <row r="317" spans="1:6" s="2" customFormat="1" ht="17.100000000000001" customHeight="1" x14ac:dyDescent="0.25">
      <c r="A317" s="27"/>
      <c r="B317" s="81"/>
      <c r="C317" s="164" t="s">
        <v>270</v>
      </c>
      <c r="D317" s="164" t="s">
        <v>271</v>
      </c>
      <c r="E317" s="171">
        <v>60000</v>
      </c>
      <c r="F317" s="31"/>
    </row>
    <row r="318" spans="1:6" s="2" customFormat="1" ht="17.100000000000001" customHeight="1" x14ac:dyDescent="0.25">
      <c r="A318" s="27"/>
      <c r="B318" s="81"/>
      <c r="C318" s="164" t="s">
        <v>272</v>
      </c>
      <c r="D318" s="164" t="s">
        <v>391</v>
      </c>
      <c r="E318" s="171">
        <f>45000*3</f>
        <v>135000</v>
      </c>
      <c r="F318" s="31"/>
    </row>
    <row r="319" spans="1:6" s="2" customFormat="1" ht="17.100000000000001" customHeight="1" x14ac:dyDescent="0.25">
      <c r="A319" s="27"/>
      <c r="B319" s="81"/>
      <c r="C319" s="164" t="s">
        <v>273</v>
      </c>
      <c r="D319" s="164" t="s">
        <v>214</v>
      </c>
      <c r="E319" s="171">
        <v>300000</v>
      </c>
      <c r="F319" s="31"/>
    </row>
    <row r="320" spans="1:6" ht="17.100000000000001" customHeight="1" x14ac:dyDescent="0.25">
      <c r="C320" s="174" t="s">
        <v>0</v>
      </c>
      <c r="D320" s="174"/>
      <c r="E320" s="9"/>
      <c r="F320" s="12">
        <f>SUM(E316:E319)</f>
        <v>695000</v>
      </c>
    </row>
    <row r="321" spans="1:6" ht="17.100000000000001" customHeight="1" x14ac:dyDescent="0.25">
      <c r="B321" s="79"/>
      <c r="C321" s="13"/>
      <c r="D321" s="14"/>
      <c r="E321" s="168"/>
      <c r="F321" s="15"/>
    </row>
    <row r="322" spans="1:6" ht="17.100000000000001" customHeight="1" x14ac:dyDescent="0.25">
      <c r="C322" s="174" t="s">
        <v>182</v>
      </c>
      <c r="D322" s="160"/>
      <c r="E322" s="161"/>
      <c r="F322" s="162">
        <f>F290+F296+F304+F312+F320</f>
        <v>3465000</v>
      </c>
    </row>
    <row r="323" spans="1:6" ht="16.5" customHeight="1" x14ac:dyDescent="0.25">
      <c r="A323" s="64"/>
      <c r="B323" s="105"/>
      <c r="C323" s="104"/>
      <c r="D323" s="106"/>
      <c r="E323" s="97"/>
      <c r="F323" s="103"/>
    </row>
    <row r="324" spans="1:6" s="37" customFormat="1" ht="16.5" customHeight="1" x14ac:dyDescent="0.25">
      <c r="A324" s="5"/>
      <c r="B324" s="80">
        <v>5</v>
      </c>
      <c r="C324" s="263" t="s">
        <v>402</v>
      </c>
      <c r="D324" s="263"/>
      <c r="E324" s="31"/>
      <c r="F324" s="38"/>
    </row>
    <row r="325" spans="1:6" s="37" customFormat="1" x14ac:dyDescent="0.25">
      <c r="A325" s="5"/>
      <c r="B325" s="7"/>
      <c r="C325" s="241"/>
      <c r="D325" s="241"/>
      <c r="E325" s="176"/>
      <c r="F325" s="177"/>
    </row>
    <row r="326" spans="1:6" s="37" customFormat="1" x14ac:dyDescent="0.25">
      <c r="A326" s="5"/>
      <c r="B326" s="6" t="s">
        <v>173</v>
      </c>
      <c r="C326" s="4" t="s">
        <v>467</v>
      </c>
      <c r="D326" s="8"/>
      <c r="E326" s="9"/>
      <c r="F326" s="46"/>
    </row>
    <row r="327" spans="1:6" s="37" customFormat="1" x14ac:dyDescent="0.25">
      <c r="A327" s="5"/>
      <c r="B327" s="6"/>
      <c r="C327" s="5" t="s">
        <v>295</v>
      </c>
      <c r="D327" s="8"/>
      <c r="E327" s="9"/>
      <c r="F327" s="46"/>
    </row>
    <row r="328" spans="1:6" s="37" customFormat="1" x14ac:dyDescent="0.25">
      <c r="A328" s="5"/>
      <c r="B328" s="6"/>
      <c r="C328" s="5" t="s">
        <v>98</v>
      </c>
      <c r="D328" s="8" t="s">
        <v>414</v>
      </c>
      <c r="E328" s="9">
        <v>360000</v>
      </c>
      <c r="F328" s="46"/>
    </row>
    <row r="329" spans="1:6" s="2" customFormat="1" x14ac:dyDescent="0.25">
      <c r="A329" s="27"/>
      <c r="B329" s="81"/>
      <c r="C329" s="27" t="s">
        <v>96</v>
      </c>
      <c r="D329" s="8" t="s">
        <v>415</v>
      </c>
      <c r="E329" s="30">
        <v>96000</v>
      </c>
      <c r="F329" s="38"/>
    </row>
    <row r="330" spans="1:6" s="2" customFormat="1" x14ac:dyDescent="0.25">
      <c r="A330" s="27"/>
      <c r="B330" s="81"/>
      <c r="C330" s="27" t="s">
        <v>97</v>
      </c>
      <c r="D330" s="8" t="s">
        <v>416</v>
      </c>
      <c r="E330" s="30">
        <f>2000*120</f>
        <v>240000</v>
      </c>
      <c r="F330" s="38"/>
    </row>
    <row r="331" spans="1:6" s="2" customFormat="1" x14ac:dyDescent="0.25">
      <c r="A331" s="27"/>
      <c r="B331" s="81"/>
      <c r="C331" s="27" t="s">
        <v>25</v>
      </c>
      <c r="D331" s="8" t="s">
        <v>417</v>
      </c>
      <c r="E331" s="30">
        <v>30000</v>
      </c>
      <c r="F331" s="38"/>
    </row>
    <row r="332" spans="1:6" s="2" customFormat="1" x14ac:dyDescent="0.25">
      <c r="A332" s="27"/>
      <c r="B332" s="81"/>
      <c r="C332" s="27" t="s">
        <v>297</v>
      </c>
      <c r="D332" s="8" t="s">
        <v>434</v>
      </c>
      <c r="E332" s="30">
        <v>84000</v>
      </c>
      <c r="F332" s="38"/>
    </row>
    <row r="333" spans="1:6" s="2" customFormat="1" ht="16.5" customHeight="1" x14ac:dyDescent="0.25">
      <c r="A333" s="27"/>
      <c r="B333" s="81"/>
      <c r="C333" s="27" t="s">
        <v>20</v>
      </c>
      <c r="D333" s="8" t="s">
        <v>468</v>
      </c>
      <c r="E333" s="30">
        <v>186000</v>
      </c>
      <c r="F333" s="38"/>
    </row>
    <row r="334" spans="1:6" s="2" customFormat="1" x14ac:dyDescent="0.25">
      <c r="A334" s="27"/>
      <c r="B334" s="80"/>
      <c r="C334" s="41" t="s">
        <v>0</v>
      </c>
      <c r="D334" s="41"/>
      <c r="E334" s="35"/>
      <c r="F334" s="35">
        <f>SUM(E328:E333)</f>
        <v>996000</v>
      </c>
    </row>
    <row r="335" spans="1:6" s="2" customFormat="1" x14ac:dyDescent="0.25">
      <c r="A335" s="27"/>
      <c r="B335" s="80"/>
      <c r="C335" s="33"/>
      <c r="D335" s="39"/>
      <c r="E335" s="38"/>
      <c r="F335" s="150"/>
    </row>
    <row r="336" spans="1:6" s="2" customFormat="1" x14ac:dyDescent="0.25">
      <c r="A336" s="27"/>
      <c r="B336" s="80" t="s">
        <v>174</v>
      </c>
      <c r="C336" s="178" t="s">
        <v>424</v>
      </c>
      <c r="D336" s="32"/>
      <c r="E336" s="30"/>
      <c r="F336" s="38"/>
    </row>
    <row r="337" spans="1:6" s="2" customFormat="1" x14ac:dyDescent="0.25">
      <c r="A337" s="27"/>
      <c r="B337" s="80"/>
      <c r="C337" s="27" t="s">
        <v>296</v>
      </c>
      <c r="D337" s="32"/>
      <c r="E337" s="30"/>
      <c r="F337" s="38"/>
    </row>
    <row r="338" spans="1:6" s="2" customFormat="1" x14ac:dyDescent="0.25">
      <c r="A338" s="27"/>
      <c r="B338" s="81"/>
      <c r="C338" s="27" t="s">
        <v>98</v>
      </c>
      <c r="D338" s="8" t="s">
        <v>420</v>
      </c>
      <c r="E338" s="30">
        <v>300000</v>
      </c>
      <c r="F338" s="38"/>
    </row>
    <row r="339" spans="1:6" s="2" customFormat="1" x14ac:dyDescent="0.25">
      <c r="A339" s="27"/>
      <c r="B339" s="81"/>
      <c r="C339" s="27" t="s">
        <v>26</v>
      </c>
      <c r="D339" s="8" t="s">
        <v>421</v>
      </c>
      <c r="E339" s="30">
        <v>108000</v>
      </c>
      <c r="F339" s="38"/>
    </row>
    <row r="340" spans="1:6" s="2" customFormat="1" x14ac:dyDescent="0.25">
      <c r="A340" s="27"/>
      <c r="B340" s="81"/>
      <c r="C340" s="27" t="s">
        <v>97</v>
      </c>
      <c r="D340" s="8" t="s">
        <v>420</v>
      </c>
      <c r="E340" s="30">
        <v>300000</v>
      </c>
      <c r="F340" s="38"/>
    </row>
    <row r="341" spans="1:6" s="2" customFormat="1" x14ac:dyDescent="0.25">
      <c r="A341" s="27"/>
      <c r="B341" s="81"/>
      <c r="C341" s="27" t="s">
        <v>184</v>
      </c>
      <c r="D341" s="8" t="s">
        <v>417</v>
      </c>
      <c r="E341" s="30">
        <v>60000</v>
      </c>
      <c r="F341" s="38"/>
    </row>
    <row r="342" spans="1:6" s="2" customFormat="1" x14ac:dyDescent="0.25">
      <c r="A342" s="27"/>
      <c r="B342" s="81"/>
      <c r="C342" s="27" t="s">
        <v>419</v>
      </c>
      <c r="D342" s="8" t="s">
        <v>422</v>
      </c>
      <c r="E342" s="30">
        <v>72000</v>
      </c>
      <c r="F342" s="38"/>
    </row>
    <row r="343" spans="1:6" s="2" customFormat="1" x14ac:dyDescent="0.25">
      <c r="A343" s="27"/>
      <c r="B343" s="81"/>
      <c r="C343" s="27" t="s">
        <v>20</v>
      </c>
      <c r="D343" s="8" t="s">
        <v>414</v>
      </c>
      <c r="E343" s="30">
        <v>200000</v>
      </c>
      <c r="F343" s="38"/>
    </row>
    <row r="344" spans="1:6" s="2" customFormat="1" x14ac:dyDescent="0.25">
      <c r="A344" s="27"/>
      <c r="B344" s="80"/>
      <c r="C344" s="41" t="s">
        <v>0</v>
      </c>
      <c r="D344" s="41"/>
      <c r="E344" s="35"/>
      <c r="F344" s="35">
        <f>SUM(E338:E343)</f>
        <v>1040000</v>
      </c>
    </row>
    <row r="345" spans="1:6" s="2" customFormat="1" x14ac:dyDescent="0.25">
      <c r="A345" s="27"/>
      <c r="B345" s="80"/>
      <c r="C345" s="33"/>
      <c r="D345" s="39"/>
      <c r="E345" s="38"/>
      <c r="F345" s="150"/>
    </row>
    <row r="346" spans="1:6" s="2" customFormat="1" x14ac:dyDescent="0.25">
      <c r="A346" s="27"/>
      <c r="B346" s="80" t="s">
        <v>175</v>
      </c>
      <c r="C346" s="179" t="s">
        <v>460</v>
      </c>
      <c r="D346" s="32"/>
      <c r="E346" s="30"/>
      <c r="F346" s="38"/>
    </row>
    <row r="347" spans="1:6" s="2" customFormat="1" x14ac:dyDescent="0.25">
      <c r="A347" s="27"/>
      <c r="B347" s="80"/>
      <c r="C347" s="32" t="s">
        <v>461</v>
      </c>
      <c r="D347" s="32"/>
      <c r="E347" s="30"/>
      <c r="F347" s="38"/>
    </row>
    <row r="348" spans="1:6" s="2" customFormat="1" x14ac:dyDescent="0.25">
      <c r="A348" s="27"/>
      <c r="B348" s="81"/>
      <c r="C348" s="27" t="s">
        <v>98</v>
      </c>
      <c r="D348" s="8" t="s">
        <v>420</v>
      </c>
      <c r="E348" s="30">
        <v>300000</v>
      </c>
      <c r="F348" s="38"/>
    </row>
    <row r="349" spans="1:6" s="2" customFormat="1" x14ac:dyDescent="0.25">
      <c r="A349" s="27"/>
      <c r="B349" s="81"/>
      <c r="C349" s="27" t="s">
        <v>98</v>
      </c>
      <c r="D349" s="8"/>
      <c r="E349" s="30">
        <v>150000</v>
      </c>
      <c r="F349" s="38"/>
    </row>
    <row r="350" spans="1:6" s="2" customFormat="1" x14ac:dyDescent="0.25">
      <c r="A350" s="27"/>
      <c r="B350" s="81"/>
      <c r="C350" s="27" t="s">
        <v>462</v>
      </c>
      <c r="D350" s="8" t="s">
        <v>415</v>
      </c>
      <c r="E350" s="30">
        <v>60000</v>
      </c>
      <c r="F350" s="38"/>
    </row>
    <row r="351" spans="1:6" s="2" customFormat="1" x14ac:dyDescent="0.25">
      <c r="A351" s="27"/>
      <c r="B351" s="81"/>
      <c r="C351" s="27" t="s">
        <v>297</v>
      </c>
      <c r="D351" s="8" t="s">
        <v>416</v>
      </c>
      <c r="E351" s="30">
        <v>50000</v>
      </c>
      <c r="F351" s="38"/>
    </row>
    <row r="352" spans="1:6" s="2" customFormat="1" x14ac:dyDescent="0.25">
      <c r="A352" s="27"/>
      <c r="B352" s="81"/>
      <c r="C352" s="27" t="s">
        <v>123</v>
      </c>
      <c r="D352" s="8" t="s">
        <v>414</v>
      </c>
      <c r="E352" s="30">
        <v>150000</v>
      </c>
      <c r="F352" s="38"/>
    </row>
    <row r="353" spans="1:6" s="2" customFormat="1" x14ac:dyDescent="0.25">
      <c r="A353" s="27"/>
      <c r="B353" s="81"/>
      <c r="C353" s="27" t="s">
        <v>61</v>
      </c>
      <c r="D353" s="8" t="s">
        <v>422</v>
      </c>
      <c r="E353" s="30">
        <v>32000</v>
      </c>
      <c r="F353" s="38"/>
    </row>
    <row r="354" spans="1:6" s="2" customFormat="1" x14ac:dyDescent="0.25">
      <c r="A354" s="27"/>
      <c r="B354" s="81"/>
      <c r="C354" s="27" t="s">
        <v>20</v>
      </c>
      <c r="D354" s="8" t="s">
        <v>418</v>
      </c>
      <c r="E354" s="30">
        <v>350000</v>
      </c>
      <c r="F354" s="38"/>
    </row>
    <row r="355" spans="1:6" s="2" customFormat="1" x14ac:dyDescent="0.25">
      <c r="A355" s="27"/>
      <c r="B355" s="80"/>
      <c r="C355" s="41" t="s">
        <v>0</v>
      </c>
      <c r="D355" s="41"/>
      <c r="E355" s="35"/>
      <c r="F355" s="35">
        <f>SUM(E348:E354)</f>
        <v>1092000</v>
      </c>
    </row>
    <row r="356" spans="1:6" s="2" customFormat="1" x14ac:dyDescent="0.25">
      <c r="A356" s="27"/>
      <c r="B356" s="80"/>
      <c r="C356" s="41"/>
      <c r="D356" s="41"/>
      <c r="E356" s="35"/>
      <c r="F356" s="35"/>
    </row>
    <row r="357" spans="1:6" s="2" customFormat="1" x14ac:dyDescent="0.25">
      <c r="A357" s="27"/>
      <c r="B357" s="80" t="s">
        <v>176</v>
      </c>
      <c r="C357" s="175" t="s">
        <v>423</v>
      </c>
      <c r="D357" s="41"/>
      <c r="E357" s="35"/>
      <c r="F357" s="35"/>
    </row>
    <row r="358" spans="1:6" s="2" customFormat="1" x14ac:dyDescent="0.25">
      <c r="A358" s="27"/>
      <c r="B358" s="80"/>
      <c r="C358" s="32" t="s">
        <v>187</v>
      </c>
      <c r="D358" s="32"/>
      <c r="E358" s="30"/>
      <c r="F358" s="38"/>
    </row>
    <row r="359" spans="1:6" s="2" customFormat="1" x14ac:dyDescent="0.25">
      <c r="A359" s="27"/>
      <c r="B359" s="81"/>
      <c r="C359" s="27" t="s">
        <v>98</v>
      </c>
      <c r="D359" s="8" t="s">
        <v>414</v>
      </c>
      <c r="E359" s="30">
        <v>360000</v>
      </c>
      <c r="F359" s="38"/>
    </row>
    <row r="360" spans="1:6" s="2" customFormat="1" x14ac:dyDescent="0.25">
      <c r="A360" s="27"/>
      <c r="B360" s="81"/>
      <c r="C360" s="27" t="s">
        <v>122</v>
      </c>
      <c r="D360" s="8" t="s">
        <v>415</v>
      </c>
      <c r="E360" s="30">
        <v>96000</v>
      </c>
      <c r="F360" s="38"/>
    </row>
    <row r="361" spans="1:6" s="2" customFormat="1" x14ac:dyDescent="0.25">
      <c r="A361" s="27"/>
      <c r="B361" s="81"/>
      <c r="C361" s="27" t="s">
        <v>297</v>
      </c>
      <c r="D361" s="8" t="s">
        <v>420</v>
      </c>
      <c r="E361" s="30">
        <v>100000</v>
      </c>
      <c r="F361" s="38"/>
    </row>
    <row r="362" spans="1:6" s="2" customFormat="1" x14ac:dyDescent="0.25">
      <c r="A362" s="27"/>
      <c r="B362" s="81"/>
      <c r="C362" s="27" t="s">
        <v>123</v>
      </c>
      <c r="D362" s="8" t="s">
        <v>414</v>
      </c>
      <c r="E362" s="30">
        <v>360000</v>
      </c>
      <c r="F362" s="38"/>
    </row>
    <row r="363" spans="1:6" s="2" customFormat="1" x14ac:dyDescent="0.25">
      <c r="A363" s="27"/>
      <c r="B363" s="81"/>
      <c r="C363" s="27" t="s">
        <v>25</v>
      </c>
      <c r="D363" s="8" t="s">
        <v>425</v>
      </c>
      <c r="E363" s="30">
        <v>60000</v>
      </c>
      <c r="F363" s="38"/>
    </row>
    <row r="364" spans="1:6" s="2" customFormat="1" x14ac:dyDescent="0.25">
      <c r="A364" s="27"/>
      <c r="B364" s="81"/>
      <c r="C364" s="27" t="s">
        <v>20</v>
      </c>
      <c r="D364" s="8" t="s">
        <v>428</v>
      </c>
      <c r="E364" s="30">
        <v>200000</v>
      </c>
      <c r="F364" s="38"/>
    </row>
    <row r="365" spans="1:6" s="2" customFormat="1" x14ac:dyDescent="0.25">
      <c r="A365" s="27"/>
      <c r="B365" s="80"/>
      <c r="C365" s="41" t="s">
        <v>0</v>
      </c>
      <c r="D365" s="41"/>
      <c r="E365" s="35"/>
      <c r="F365" s="35">
        <f>SUM(E359:E364)</f>
        <v>1176000</v>
      </c>
    </row>
    <row r="366" spans="1:6" s="2" customFormat="1" x14ac:dyDescent="0.25">
      <c r="A366" s="27"/>
      <c r="B366" s="80"/>
      <c r="C366" s="41"/>
      <c r="D366" s="41"/>
      <c r="E366" s="35"/>
      <c r="F366" s="35"/>
    </row>
    <row r="367" spans="1:6" s="2" customFormat="1" x14ac:dyDescent="0.25">
      <c r="A367" s="27"/>
      <c r="B367" s="80" t="s">
        <v>191</v>
      </c>
      <c r="C367" s="175" t="s">
        <v>426</v>
      </c>
      <c r="D367" s="41"/>
      <c r="E367" s="35"/>
      <c r="F367" s="35"/>
    </row>
    <row r="368" spans="1:6" s="2" customFormat="1" x14ac:dyDescent="0.25">
      <c r="A368" s="27"/>
      <c r="B368" s="80"/>
      <c r="C368" s="32" t="s">
        <v>296</v>
      </c>
      <c r="D368" s="32"/>
      <c r="E368" s="30"/>
      <c r="F368" s="38"/>
    </row>
    <row r="369" spans="1:6" s="2" customFormat="1" x14ac:dyDescent="0.25">
      <c r="A369" s="27"/>
      <c r="B369" s="81"/>
      <c r="C369" s="27" t="s">
        <v>84</v>
      </c>
      <c r="D369" s="8" t="s">
        <v>429</v>
      </c>
      <c r="E369" s="30">
        <v>144000</v>
      </c>
      <c r="F369" s="38"/>
    </row>
    <row r="370" spans="1:6" s="2" customFormat="1" x14ac:dyDescent="0.25">
      <c r="A370" s="27"/>
      <c r="B370" s="81"/>
      <c r="C370" s="27" t="s">
        <v>98</v>
      </c>
      <c r="D370" s="8" t="s">
        <v>414</v>
      </c>
      <c r="E370" s="30">
        <v>360000</v>
      </c>
      <c r="F370" s="38"/>
    </row>
    <row r="371" spans="1:6" s="2" customFormat="1" x14ac:dyDescent="0.25">
      <c r="A371" s="27"/>
      <c r="B371" s="81"/>
      <c r="C371" s="27" t="s">
        <v>427</v>
      </c>
      <c r="D371" s="8" t="s">
        <v>420</v>
      </c>
      <c r="E371" s="30">
        <v>300000</v>
      </c>
      <c r="F371" s="38"/>
    </row>
    <row r="372" spans="1:6" s="2" customFormat="1" x14ac:dyDescent="0.25">
      <c r="A372" s="27"/>
      <c r="B372" s="81"/>
      <c r="C372" s="27" t="s">
        <v>122</v>
      </c>
      <c r="D372" s="8" t="s">
        <v>421</v>
      </c>
      <c r="E372" s="30">
        <v>108000</v>
      </c>
      <c r="F372" s="38"/>
    </row>
    <row r="373" spans="1:6" s="2" customFormat="1" x14ac:dyDescent="0.25">
      <c r="A373" s="27"/>
      <c r="B373" s="81"/>
      <c r="C373" s="27" t="s">
        <v>297</v>
      </c>
      <c r="D373" s="8" t="s">
        <v>422</v>
      </c>
      <c r="E373" s="30">
        <v>72000</v>
      </c>
      <c r="F373" s="38"/>
    </row>
    <row r="374" spans="1:6" s="2" customFormat="1" x14ac:dyDescent="0.25">
      <c r="A374" s="27"/>
      <c r="B374" s="81"/>
      <c r="C374" s="27" t="s">
        <v>123</v>
      </c>
      <c r="D374" s="8" t="s">
        <v>420</v>
      </c>
      <c r="E374" s="30">
        <v>200000</v>
      </c>
      <c r="F374" s="38"/>
    </row>
    <row r="375" spans="1:6" s="2" customFormat="1" x14ac:dyDescent="0.25">
      <c r="A375" s="27"/>
      <c r="B375" s="81"/>
      <c r="C375" s="27" t="s">
        <v>25</v>
      </c>
      <c r="D375" s="8" t="s">
        <v>417</v>
      </c>
      <c r="E375" s="30">
        <v>60000</v>
      </c>
      <c r="F375" s="38"/>
    </row>
    <row r="376" spans="1:6" s="2" customFormat="1" x14ac:dyDescent="0.25">
      <c r="A376" s="27"/>
      <c r="B376" s="81"/>
      <c r="C376" s="27" t="s">
        <v>20</v>
      </c>
      <c r="D376" s="8" t="s">
        <v>414</v>
      </c>
      <c r="E376" s="30">
        <v>200000</v>
      </c>
      <c r="F376" s="38"/>
    </row>
    <row r="377" spans="1:6" s="2" customFormat="1" x14ac:dyDescent="0.25">
      <c r="A377" s="27"/>
      <c r="B377" s="80"/>
      <c r="C377" s="41" t="s">
        <v>0</v>
      </c>
      <c r="D377" s="41"/>
      <c r="E377" s="35"/>
      <c r="F377" s="35">
        <f>SUM(E369:E376)</f>
        <v>1444000</v>
      </c>
    </row>
    <row r="378" spans="1:6" s="2" customFormat="1" x14ac:dyDescent="0.25">
      <c r="A378" s="27"/>
      <c r="B378" s="80"/>
      <c r="C378" s="180"/>
      <c r="D378" s="41"/>
      <c r="E378" s="35"/>
      <c r="F378" s="35"/>
    </row>
    <row r="379" spans="1:6" s="2" customFormat="1" x14ac:dyDescent="0.25">
      <c r="A379" s="27"/>
      <c r="B379" s="80" t="s">
        <v>192</v>
      </c>
      <c r="C379" s="175" t="s">
        <v>465</v>
      </c>
      <c r="D379" s="41"/>
      <c r="E379" s="35"/>
      <c r="F379" s="35"/>
    </row>
    <row r="380" spans="1:6" s="2" customFormat="1" x14ac:dyDescent="0.25">
      <c r="A380" s="27"/>
      <c r="B380" s="80"/>
      <c r="C380" s="32" t="s">
        <v>296</v>
      </c>
      <c r="D380" s="32"/>
      <c r="E380" s="30"/>
      <c r="F380" s="38"/>
    </row>
    <row r="381" spans="1:6" s="2" customFormat="1" x14ac:dyDescent="0.25">
      <c r="A381" s="27"/>
      <c r="B381" s="81"/>
      <c r="C381" s="27" t="s">
        <v>98</v>
      </c>
      <c r="D381" s="8" t="s">
        <v>414</v>
      </c>
      <c r="E381" s="30">
        <v>360000</v>
      </c>
      <c r="F381" s="38"/>
    </row>
    <row r="382" spans="1:6" s="2" customFormat="1" x14ac:dyDescent="0.25">
      <c r="A382" s="27"/>
      <c r="B382" s="81"/>
      <c r="C382" s="27" t="s">
        <v>462</v>
      </c>
      <c r="D382" s="8" t="s">
        <v>421</v>
      </c>
      <c r="E382" s="30">
        <v>108000</v>
      </c>
      <c r="F382" s="38"/>
    </row>
    <row r="383" spans="1:6" s="2" customFormat="1" x14ac:dyDescent="0.25">
      <c r="A383" s="27"/>
      <c r="B383" s="81"/>
      <c r="C383" s="27" t="s">
        <v>123</v>
      </c>
      <c r="D383" s="8" t="s">
        <v>428</v>
      </c>
      <c r="E383" s="30">
        <v>200000</v>
      </c>
      <c r="F383" s="38"/>
    </row>
    <row r="384" spans="1:6" s="2" customFormat="1" x14ac:dyDescent="0.25">
      <c r="A384" s="27"/>
      <c r="B384" s="81"/>
      <c r="C384" s="27" t="s">
        <v>25</v>
      </c>
      <c r="D384" s="8" t="s">
        <v>415</v>
      </c>
      <c r="E384" s="30">
        <v>50000</v>
      </c>
      <c r="F384" s="38"/>
    </row>
    <row r="385" spans="1:6" s="2" customFormat="1" x14ac:dyDescent="0.25">
      <c r="A385" s="27"/>
      <c r="B385" s="81"/>
      <c r="C385" s="27" t="s">
        <v>20</v>
      </c>
      <c r="D385" s="8" t="s">
        <v>428</v>
      </c>
      <c r="E385" s="30">
        <v>250000</v>
      </c>
      <c r="F385" s="38"/>
    </row>
    <row r="386" spans="1:6" s="2" customFormat="1" x14ac:dyDescent="0.25">
      <c r="A386" s="27"/>
      <c r="B386" s="80"/>
      <c r="C386" s="41" t="s">
        <v>0</v>
      </c>
      <c r="D386" s="41"/>
      <c r="E386" s="35"/>
      <c r="F386" s="35">
        <f>SUM(E381:E385)</f>
        <v>968000</v>
      </c>
    </row>
    <row r="387" spans="1:6" s="2" customFormat="1" x14ac:dyDescent="0.25">
      <c r="A387" s="27"/>
      <c r="B387" s="80"/>
      <c r="C387" s="180"/>
      <c r="D387" s="41"/>
      <c r="E387" s="35"/>
      <c r="F387" s="35"/>
    </row>
    <row r="388" spans="1:6" s="2" customFormat="1" x14ac:dyDescent="0.25">
      <c r="A388" s="27"/>
      <c r="B388" s="181" t="s">
        <v>177</v>
      </c>
      <c r="C388" s="179" t="s">
        <v>450</v>
      </c>
      <c r="D388" s="32"/>
      <c r="E388" s="30"/>
      <c r="F388" s="38"/>
    </row>
    <row r="389" spans="1:6" s="2" customFormat="1" x14ac:dyDescent="0.25">
      <c r="A389" s="27"/>
      <c r="B389" s="181"/>
      <c r="C389" s="27" t="s">
        <v>447</v>
      </c>
      <c r="D389" s="32"/>
      <c r="E389" s="30"/>
      <c r="F389" s="38"/>
    </row>
    <row r="390" spans="1:6" s="2" customFormat="1" x14ac:dyDescent="0.25">
      <c r="A390" s="27"/>
      <c r="B390" s="182"/>
      <c r="C390" s="27" t="s">
        <v>84</v>
      </c>
      <c r="D390" s="8" t="s">
        <v>430</v>
      </c>
      <c r="E390" s="30">
        <f>1500*120</f>
        <v>180000</v>
      </c>
      <c r="F390" s="38"/>
    </row>
    <row r="391" spans="1:6" s="2" customFormat="1" x14ac:dyDescent="0.25">
      <c r="A391" s="27"/>
      <c r="B391" s="81"/>
      <c r="C391" s="27" t="s">
        <v>427</v>
      </c>
      <c r="D391" s="8" t="s">
        <v>414</v>
      </c>
      <c r="E391" s="30">
        <f>3000*120</f>
        <v>360000</v>
      </c>
      <c r="F391" s="38"/>
    </row>
    <row r="392" spans="1:6" s="2" customFormat="1" x14ac:dyDescent="0.25">
      <c r="A392" s="27"/>
      <c r="B392" s="182"/>
      <c r="C392" s="27" t="s">
        <v>97</v>
      </c>
      <c r="D392" s="8" t="s">
        <v>416</v>
      </c>
      <c r="E392" s="30">
        <f>2000*120</f>
        <v>240000</v>
      </c>
      <c r="F392" s="38"/>
    </row>
    <row r="393" spans="1:6" s="2" customFormat="1" x14ac:dyDescent="0.25">
      <c r="A393" s="27"/>
      <c r="B393" s="182"/>
      <c r="C393" s="27" t="s">
        <v>96</v>
      </c>
      <c r="D393" s="8" t="s">
        <v>425</v>
      </c>
      <c r="E393" s="30">
        <f>1000*120</f>
        <v>120000</v>
      </c>
      <c r="F393" s="38"/>
    </row>
    <row r="394" spans="1:6" s="2" customFormat="1" ht="16.5" customHeight="1" x14ac:dyDescent="0.25">
      <c r="A394" s="27"/>
      <c r="B394" s="182"/>
      <c r="C394" s="27" t="s">
        <v>20</v>
      </c>
      <c r="D394" s="8" t="s">
        <v>431</v>
      </c>
      <c r="E394" s="30">
        <f>3600*120</f>
        <v>432000</v>
      </c>
      <c r="F394" s="38"/>
    </row>
    <row r="395" spans="1:6" s="2" customFormat="1" x14ac:dyDescent="0.25">
      <c r="A395" s="27"/>
      <c r="B395" s="181"/>
      <c r="C395" s="41" t="s">
        <v>0</v>
      </c>
      <c r="D395" s="41"/>
      <c r="E395" s="35"/>
      <c r="F395" s="35">
        <f>SUM(E390:E394)</f>
        <v>1332000</v>
      </c>
    </row>
    <row r="396" spans="1:6" s="2" customFormat="1" x14ac:dyDescent="0.25">
      <c r="A396" s="179"/>
      <c r="B396" s="80"/>
      <c r="C396" s="41"/>
      <c r="D396" s="41"/>
      <c r="E396" s="35"/>
      <c r="F396" s="35"/>
    </row>
    <row r="397" spans="1:6" s="2" customFormat="1" x14ac:dyDescent="0.25">
      <c r="A397" s="179"/>
      <c r="B397" s="80" t="s">
        <v>201</v>
      </c>
      <c r="C397" s="175" t="s">
        <v>448</v>
      </c>
      <c r="D397" s="41"/>
      <c r="E397" s="30"/>
      <c r="F397" s="35"/>
    </row>
    <row r="398" spans="1:6" s="2" customFormat="1" x14ac:dyDescent="0.25">
      <c r="A398" s="27"/>
      <c r="B398" s="181"/>
      <c r="C398" s="27" t="s">
        <v>298</v>
      </c>
      <c r="D398" s="32"/>
      <c r="E398" s="30"/>
      <c r="F398" s="38"/>
    </row>
    <row r="399" spans="1:6" s="2" customFormat="1" x14ac:dyDescent="0.25">
      <c r="A399" s="27"/>
      <c r="B399" s="182"/>
      <c r="C399" s="27" t="s">
        <v>84</v>
      </c>
      <c r="D399" s="8" t="s">
        <v>430</v>
      </c>
      <c r="E399" s="30">
        <v>180000</v>
      </c>
      <c r="F399" s="38"/>
    </row>
    <row r="400" spans="1:6" s="2" customFormat="1" x14ac:dyDescent="0.25">
      <c r="A400" s="27"/>
      <c r="B400" s="182"/>
      <c r="C400" s="27" t="s">
        <v>97</v>
      </c>
      <c r="D400" s="8" t="s">
        <v>420</v>
      </c>
      <c r="E400" s="30">
        <v>300000</v>
      </c>
      <c r="F400" s="38"/>
    </row>
    <row r="401" spans="1:6" s="2" customFormat="1" x14ac:dyDescent="0.25">
      <c r="A401" s="27"/>
      <c r="B401" s="81"/>
      <c r="C401" s="27" t="s">
        <v>25</v>
      </c>
      <c r="D401" s="8" t="s">
        <v>421</v>
      </c>
      <c r="E401" s="30">
        <v>108000</v>
      </c>
      <c r="F401" s="38"/>
    </row>
    <row r="402" spans="1:6" s="2" customFormat="1" ht="16.5" customHeight="1" x14ac:dyDescent="0.25">
      <c r="A402" s="27"/>
      <c r="B402" s="182"/>
      <c r="C402" s="27" t="s">
        <v>20</v>
      </c>
      <c r="D402" s="8" t="s">
        <v>431</v>
      </c>
      <c r="E402" s="30">
        <v>346000</v>
      </c>
      <c r="F402" s="38"/>
    </row>
    <row r="403" spans="1:6" s="2" customFormat="1" x14ac:dyDescent="0.25">
      <c r="A403" s="27"/>
      <c r="B403" s="80"/>
      <c r="C403" s="41" t="s">
        <v>0</v>
      </c>
      <c r="D403" s="41"/>
      <c r="E403" s="35"/>
      <c r="F403" s="35">
        <f>SUM(E399:E402)</f>
        <v>934000</v>
      </c>
    </row>
    <row r="404" spans="1:6" s="2" customFormat="1" x14ac:dyDescent="0.25">
      <c r="A404" s="27"/>
      <c r="B404" s="80"/>
      <c r="C404" s="41"/>
      <c r="D404" s="41"/>
      <c r="E404" s="35"/>
      <c r="F404" s="35"/>
    </row>
    <row r="405" spans="1:6" s="2" customFormat="1" x14ac:dyDescent="0.25">
      <c r="A405" s="179"/>
      <c r="B405" s="80" t="s">
        <v>193</v>
      </c>
      <c r="C405" s="175" t="s">
        <v>432</v>
      </c>
      <c r="D405" s="41"/>
      <c r="E405" s="30"/>
      <c r="F405" s="35"/>
    </row>
    <row r="406" spans="1:6" s="2" customFormat="1" x14ac:dyDescent="0.25">
      <c r="A406" s="27"/>
      <c r="B406" s="181"/>
      <c r="C406" s="27" t="s">
        <v>298</v>
      </c>
      <c r="D406" s="32"/>
      <c r="E406" s="30"/>
      <c r="F406" s="38"/>
    </row>
    <row r="407" spans="1:6" s="2" customFormat="1" x14ac:dyDescent="0.25">
      <c r="A407" s="27"/>
      <c r="B407" s="182"/>
      <c r="C407" s="27" t="s">
        <v>98</v>
      </c>
      <c r="D407" s="8" t="s">
        <v>433</v>
      </c>
      <c r="E407" s="30">
        <v>216000</v>
      </c>
      <c r="F407" s="38"/>
    </row>
    <row r="408" spans="1:6" s="2" customFormat="1" x14ac:dyDescent="0.25">
      <c r="A408" s="27"/>
      <c r="B408" s="182"/>
      <c r="C408" s="27" t="s">
        <v>97</v>
      </c>
      <c r="D408" s="8" t="s">
        <v>420</v>
      </c>
      <c r="E408" s="30">
        <v>300000</v>
      </c>
      <c r="F408" s="38"/>
    </row>
    <row r="409" spans="1:6" s="2" customFormat="1" x14ac:dyDescent="0.25">
      <c r="A409" s="27"/>
      <c r="B409" s="182"/>
      <c r="C409" s="27" t="s">
        <v>96</v>
      </c>
      <c r="D409" s="8" t="s">
        <v>434</v>
      </c>
      <c r="E409" s="30">
        <v>60000</v>
      </c>
      <c r="F409" s="38"/>
    </row>
    <row r="410" spans="1:6" s="2" customFormat="1" ht="16.5" customHeight="1" x14ac:dyDescent="0.25">
      <c r="A410" s="27"/>
      <c r="B410" s="182"/>
      <c r="C410" s="27" t="s">
        <v>20</v>
      </c>
      <c r="D410" s="8" t="s">
        <v>418</v>
      </c>
      <c r="E410" s="30">
        <v>250000</v>
      </c>
      <c r="F410" s="38"/>
    </row>
    <row r="411" spans="1:6" s="2" customFormat="1" x14ac:dyDescent="0.25">
      <c r="A411" s="27"/>
      <c r="B411" s="80"/>
      <c r="C411" s="41" t="s">
        <v>0</v>
      </c>
      <c r="D411" s="41"/>
      <c r="E411" s="35"/>
      <c r="F411" s="35">
        <f>SUM(E407:E410)</f>
        <v>826000</v>
      </c>
    </row>
    <row r="412" spans="1:6" s="2" customFormat="1" x14ac:dyDescent="0.25">
      <c r="A412" s="27"/>
      <c r="B412" s="80"/>
      <c r="C412" s="41"/>
      <c r="D412" s="41"/>
      <c r="E412" s="35"/>
      <c r="F412" s="35"/>
    </row>
    <row r="413" spans="1:6" s="2" customFormat="1" x14ac:dyDescent="0.25">
      <c r="A413" s="179"/>
      <c r="B413" s="80" t="s">
        <v>444</v>
      </c>
      <c r="C413" s="175" t="s">
        <v>435</v>
      </c>
      <c r="D413" s="41"/>
      <c r="E413" s="30"/>
      <c r="F413" s="35"/>
    </row>
    <row r="414" spans="1:6" s="2" customFormat="1" x14ac:dyDescent="0.25">
      <c r="A414" s="27"/>
      <c r="B414" s="181"/>
      <c r="C414" s="27" t="s">
        <v>449</v>
      </c>
      <c r="D414" s="32"/>
      <c r="E414" s="30"/>
      <c r="F414" s="38"/>
    </row>
    <row r="415" spans="1:6" s="2" customFormat="1" x14ac:dyDescent="0.25">
      <c r="A415" s="27"/>
      <c r="B415" s="182"/>
      <c r="C415" s="27" t="s">
        <v>98</v>
      </c>
      <c r="D415" s="8" t="s">
        <v>420</v>
      </c>
      <c r="E415" s="30">
        <v>300000</v>
      </c>
      <c r="F415" s="38"/>
    </row>
    <row r="416" spans="1:6" s="2" customFormat="1" x14ac:dyDescent="0.25">
      <c r="A416" s="27"/>
      <c r="B416" s="182"/>
      <c r="C416" s="27" t="s">
        <v>436</v>
      </c>
      <c r="D416" s="8" t="s">
        <v>425</v>
      </c>
      <c r="E416" s="30">
        <v>120000</v>
      </c>
      <c r="F416" s="38"/>
    </row>
    <row r="417" spans="1:6" s="2" customFormat="1" ht="16.5" customHeight="1" x14ac:dyDescent="0.25">
      <c r="A417" s="27"/>
      <c r="B417" s="182"/>
      <c r="C417" s="27" t="s">
        <v>20</v>
      </c>
      <c r="D417" s="8" t="s">
        <v>414</v>
      </c>
      <c r="E417" s="30">
        <v>360000</v>
      </c>
      <c r="F417" s="38"/>
    </row>
    <row r="418" spans="1:6" s="2" customFormat="1" x14ac:dyDescent="0.25">
      <c r="A418" s="27"/>
      <c r="B418" s="80"/>
      <c r="C418" s="41" t="s">
        <v>0</v>
      </c>
      <c r="D418" s="41"/>
      <c r="E418" s="35"/>
      <c r="F418" s="35">
        <f>SUM(E415:E417)</f>
        <v>780000</v>
      </c>
    </row>
    <row r="419" spans="1:6" s="2" customFormat="1" x14ac:dyDescent="0.25">
      <c r="A419" s="27"/>
      <c r="B419" s="80"/>
      <c r="C419" s="41"/>
      <c r="D419" s="41"/>
      <c r="E419" s="35"/>
      <c r="F419" s="35"/>
    </row>
    <row r="420" spans="1:6" s="2" customFormat="1" x14ac:dyDescent="0.25">
      <c r="A420" s="27"/>
      <c r="B420" s="80" t="s">
        <v>445</v>
      </c>
      <c r="C420" s="175" t="s">
        <v>464</v>
      </c>
      <c r="D420" s="41"/>
      <c r="E420" s="35"/>
      <c r="F420" s="35"/>
    </row>
    <row r="421" spans="1:6" s="2" customFormat="1" x14ac:dyDescent="0.25">
      <c r="A421" s="27"/>
      <c r="B421" s="80"/>
      <c r="C421" s="32" t="s">
        <v>452</v>
      </c>
      <c r="D421" s="32"/>
      <c r="E421" s="30"/>
      <c r="F421" s="38"/>
    </row>
    <row r="422" spans="1:6" s="2" customFormat="1" x14ac:dyDescent="0.25">
      <c r="A422" s="27"/>
      <c r="B422" s="81"/>
      <c r="C422" s="27" t="s">
        <v>98</v>
      </c>
      <c r="D422" s="8" t="s">
        <v>414</v>
      </c>
      <c r="E422" s="30">
        <f>3000*120</f>
        <v>360000</v>
      </c>
      <c r="F422" s="38"/>
    </row>
    <row r="423" spans="1:6" s="2" customFormat="1" x14ac:dyDescent="0.25">
      <c r="A423" s="27"/>
      <c r="B423" s="81"/>
      <c r="C423" s="27" t="s">
        <v>123</v>
      </c>
      <c r="D423" s="8" t="s">
        <v>416</v>
      </c>
      <c r="E423" s="30">
        <f>2000*120</f>
        <v>240000</v>
      </c>
      <c r="F423" s="38"/>
    </row>
    <row r="424" spans="1:6" s="2" customFormat="1" x14ac:dyDescent="0.25">
      <c r="A424" s="27"/>
      <c r="B424" s="81"/>
      <c r="C424" s="27" t="s">
        <v>122</v>
      </c>
      <c r="D424" s="8" t="s">
        <v>421</v>
      </c>
      <c r="E424" s="30">
        <f>900*120</f>
        <v>108000</v>
      </c>
      <c r="F424" s="38"/>
    </row>
    <row r="425" spans="1:6" s="2" customFormat="1" x14ac:dyDescent="0.25">
      <c r="A425" s="27"/>
      <c r="B425" s="81"/>
      <c r="C425" s="27" t="s">
        <v>297</v>
      </c>
      <c r="D425" s="8" t="s">
        <v>422</v>
      </c>
      <c r="E425" s="30">
        <f>600*120</f>
        <v>72000</v>
      </c>
      <c r="F425" s="38"/>
    </row>
    <row r="426" spans="1:6" s="2" customFormat="1" x14ac:dyDescent="0.25">
      <c r="A426" s="27"/>
      <c r="B426" s="81"/>
      <c r="C426" s="27" t="s">
        <v>20</v>
      </c>
      <c r="D426" s="8" t="s">
        <v>414</v>
      </c>
      <c r="E426" s="30">
        <v>300000</v>
      </c>
      <c r="F426" s="38"/>
    </row>
    <row r="427" spans="1:6" s="2" customFormat="1" x14ac:dyDescent="0.25">
      <c r="A427" s="27"/>
      <c r="B427" s="80"/>
      <c r="C427" s="41" t="s">
        <v>0</v>
      </c>
      <c r="D427" s="41"/>
      <c r="E427" s="35"/>
      <c r="F427" s="35">
        <f>SUM(E422:E426)</f>
        <v>1080000</v>
      </c>
    </row>
    <row r="428" spans="1:6" s="2" customFormat="1" x14ac:dyDescent="0.25">
      <c r="A428" s="27"/>
      <c r="B428" s="80"/>
      <c r="C428" s="41"/>
      <c r="D428" s="41"/>
      <c r="E428" s="35"/>
      <c r="F428" s="35"/>
    </row>
    <row r="429" spans="1:6" s="2" customFormat="1" x14ac:dyDescent="0.25">
      <c r="A429" s="27"/>
      <c r="B429" s="80" t="s">
        <v>446</v>
      </c>
      <c r="C429" s="179" t="s">
        <v>437</v>
      </c>
      <c r="D429" s="32"/>
      <c r="E429" s="30"/>
      <c r="F429" s="38"/>
    </row>
    <row r="430" spans="1:6" s="2" customFormat="1" x14ac:dyDescent="0.25">
      <c r="A430" s="27"/>
      <c r="B430" s="81"/>
      <c r="C430" s="27" t="s">
        <v>27</v>
      </c>
      <c r="D430" s="8" t="s">
        <v>420</v>
      </c>
      <c r="E430" s="30">
        <v>300000</v>
      </c>
      <c r="F430" s="38"/>
    </row>
    <row r="431" spans="1:6" s="2" customFormat="1" x14ac:dyDescent="0.25">
      <c r="A431" s="27"/>
      <c r="B431" s="182"/>
      <c r="C431" s="27" t="s">
        <v>186</v>
      </c>
      <c r="D431" s="8" t="s">
        <v>416</v>
      </c>
      <c r="E431" s="30">
        <v>240000</v>
      </c>
      <c r="F431" s="38"/>
    </row>
    <row r="432" spans="1:6" s="2" customFormat="1" x14ac:dyDescent="0.25">
      <c r="A432" s="27"/>
      <c r="B432" s="81"/>
      <c r="C432" s="27" t="s">
        <v>440</v>
      </c>
      <c r="D432" s="8" t="s">
        <v>429</v>
      </c>
      <c r="E432" s="30">
        <v>144000</v>
      </c>
      <c r="F432" s="38"/>
    </row>
    <row r="433" spans="1:9" s="2" customFormat="1" ht="17.100000000000001" customHeight="1" x14ac:dyDescent="0.25">
      <c r="A433" s="27"/>
      <c r="B433" s="81"/>
      <c r="C433" s="20" t="s">
        <v>438</v>
      </c>
      <c r="D433" s="8" t="s">
        <v>417</v>
      </c>
      <c r="E433" s="30">
        <v>60000</v>
      </c>
      <c r="F433" s="31"/>
    </row>
    <row r="434" spans="1:9" s="2" customFormat="1" ht="17.100000000000001" customHeight="1" x14ac:dyDescent="0.25">
      <c r="A434" s="27"/>
      <c r="B434" s="81"/>
      <c r="C434" s="164" t="s">
        <v>439</v>
      </c>
      <c r="D434" s="8" t="s">
        <v>425</v>
      </c>
      <c r="E434" s="171">
        <v>120000</v>
      </c>
      <c r="F434" s="31"/>
    </row>
    <row r="435" spans="1:9" x14ac:dyDescent="0.25">
      <c r="C435" s="174" t="s">
        <v>0</v>
      </c>
      <c r="E435" s="9"/>
      <c r="F435" s="12">
        <f>SUM(E430:E434)</f>
        <v>864000</v>
      </c>
    </row>
    <row r="436" spans="1:9" s="2" customFormat="1" x14ac:dyDescent="0.25">
      <c r="A436" s="179"/>
      <c r="B436" s="80" t="s">
        <v>451</v>
      </c>
      <c r="C436" s="175" t="s">
        <v>441</v>
      </c>
      <c r="D436" s="41"/>
      <c r="E436" s="30"/>
      <c r="F436" s="35"/>
    </row>
    <row r="437" spans="1:9" s="2" customFormat="1" x14ac:dyDescent="0.25">
      <c r="A437" s="27"/>
      <c r="B437" s="182"/>
      <c r="C437" s="27" t="s">
        <v>443</v>
      </c>
      <c r="D437" s="8" t="s">
        <v>442</v>
      </c>
      <c r="E437" s="30">
        <v>2000000</v>
      </c>
      <c r="F437" s="38"/>
    </row>
    <row r="438" spans="1:9" s="2" customFormat="1" x14ac:dyDescent="0.25">
      <c r="A438" s="27"/>
      <c r="B438" s="80"/>
      <c r="C438" s="41" t="s">
        <v>0</v>
      </c>
      <c r="D438" s="41"/>
      <c r="E438" s="35"/>
      <c r="F438" s="35">
        <f>SUM(E437)</f>
        <v>2000000</v>
      </c>
    </row>
    <row r="439" spans="1:9" s="37" customFormat="1" x14ac:dyDescent="0.25">
      <c r="A439" s="5"/>
      <c r="B439" s="7"/>
      <c r="C439" s="261"/>
      <c r="D439" s="261"/>
      <c r="E439" s="261"/>
      <c r="F439" s="261"/>
    </row>
    <row r="440" spans="1:9" s="37" customFormat="1" x14ac:dyDescent="0.25">
      <c r="A440" s="5"/>
      <c r="B440" s="6"/>
      <c r="C440" s="5"/>
      <c r="D440" s="16" t="s">
        <v>28</v>
      </c>
      <c r="E440" s="47"/>
      <c r="F440" s="48">
        <f>+F334+F344+F355+F365+F377+F386+F395+F403+F411+F418+F427+F435+F438</f>
        <v>14532000</v>
      </c>
    </row>
    <row r="441" spans="1:9" s="37" customFormat="1" ht="18" customHeight="1" x14ac:dyDescent="0.25">
      <c r="A441" s="5"/>
      <c r="B441" s="6"/>
      <c r="C441" s="5"/>
      <c r="D441" s="17" t="s">
        <v>83</v>
      </c>
      <c r="E441" s="50"/>
      <c r="F441" s="50">
        <f>F33+F223+F280+F440+F322</f>
        <v>1024981000</v>
      </c>
    </row>
    <row r="442" spans="1:9" s="37" customFormat="1" ht="15.6" customHeight="1" x14ac:dyDescent="0.25">
      <c r="A442" s="64"/>
      <c r="B442" s="69"/>
      <c r="C442" s="260"/>
      <c r="D442" s="260"/>
      <c r="E442" s="260"/>
      <c r="F442" s="260"/>
    </row>
    <row r="443" spans="1:9" s="37" customFormat="1" x14ac:dyDescent="0.25">
      <c r="A443" s="64"/>
      <c r="B443" s="6"/>
      <c r="C443" s="4" t="s">
        <v>29</v>
      </c>
      <c r="D443" s="8"/>
      <c r="E443" s="190"/>
      <c r="F443" s="190"/>
    </row>
    <row r="444" spans="1:9" s="37" customFormat="1" ht="30" customHeight="1" x14ac:dyDescent="0.25">
      <c r="A444" s="64"/>
      <c r="B444" s="7"/>
      <c r="C444" s="191" t="s">
        <v>30</v>
      </c>
      <c r="D444" s="192" t="s">
        <v>31</v>
      </c>
      <c r="E444" s="193"/>
      <c r="F444" s="192" t="s">
        <v>32</v>
      </c>
    </row>
    <row r="445" spans="1:9" s="37" customFormat="1" x14ac:dyDescent="0.25">
      <c r="A445" s="64"/>
      <c r="B445" s="6"/>
      <c r="C445" s="194"/>
      <c r="D445" s="194"/>
      <c r="E445" s="195"/>
      <c r="F445" s="190"/>
    </row>
    <row r="446" spans="1:9" s="37" customFormat="1" x14ac:dyDescent="0.25">
      <c r="A446" s="64"/>
      <c r="B446" s="6"/>
      <c r="C446" s="196" t="s">
        <v>33</v>
      </c>
      <c r="D446" s="197"/>
      <c r="E446" s="197">
        <f>E447</f>
        <v>18500000</v>
      </c>
      <c r="F446" s="198"/>
      <c r="I446" s="86"/>
    </row>
    <row r="447" spans="1:9" s="37" customFormat="1" x14ac:dyDescent="0.25">
      <c r="A447" s="64"/>
      <c r="B447" s="82"/>
      <c r="C447" s="199" t="s">
        <v>188</v>
      </c>
      <c r="D447" s="200"/>
      <c r="E447" s="200">
        <v>18500000</v>
      </c>
      <c r="F447" s="46"/>
    </row>
    <row r="448" spans="1:9" s="37" customFormat="1" x14ac:dyDescent="0.25">
      <c r="A448" s="64"/>
      <c r="B448" s="82"/>
      <c r="C448" s="196" t="s">
        <v>34</v>
      </c>
      <c r="D448" s="197"/>
      <c r="E448" s="197">
        <f>E449+E450</f>
        <v>3030000</v>
      </c>
      <c r="F448" s="46"/>
    </row>
    <row r="449" spans="1:6" s="37" customFormat="1" x14ac:dyDescent="0.25">
      <c r="A449" s="64"/>
      <c r="B449" s="82"/>
      <c r="C449" s="201" t="s">
        <v>35</v>
      </c>
      <c r="D449" s="200"/>
      <c r="E449" s="200">
        <v>2000000</v>
      </c>
      <c r="F449" s="46"/>
    </row>
    <row r="450" spans="1:6" s="37" customFormat="1" x14ac:dyDescent="0.25">
      <c r="A450" s="64"/>
      <c r="B450" s="82"/>
      <c r="C450" s="201" t="s">
        <v>36</v>
      </c>
      <c r="D450" s="200"/>
      <c r="E450" s="200">
        <v>1030000</v>
      </c>
      <c r="F450" s="46"/>
    </row>
    <row r="451" spans="1:6" s="37" customFormat="1" x14ac:dyDescent="0.25">
      <c r="A451" s="64"/>
      <c r="B451" s="82"/>
      <c r="C451" s="202" t="s">
        <v>37</v>
      </c>
      <c r="D451" s="203"/>
      <c r="E451" s="203">
        <f>+E452</f>
        <v>0</v>
      </c>
      <c r="F451" s="46"/>
    </row>
    <row r="452" spans="1:6" s="37" customFormat="1" x14ac:dyDescent="0.25">
      <c r="A452" s="64"/>
      <c r="B452" s="82"/>
      <c r="C452" s="204" t="s">
        <v>142</v>
      </c>
      <c r="D452" s="200"/>
      <c r="E452" s="200">
        <v>0</v>
      </c>
      <c r="F452" s="46"/>
    </row>
    <row r="453" spans="1:6" s="37" customFormat="1" x14ac:dyDescent="0.25">
      <c r="A453" s="64"/>
      <c r="B453" s="82"/>
      <c r="C453" s="196" t="s">
        <v>38</v>
      </c>
      <c r="D453" s="197"/>
      <c r="E453" s="197">
        <v>500000</v>
      </c>
      <c r="F453" s="46"/>
    </row>
    <row r="454" spans="1:6" s="37" customFormat="1" x14ac:dyDescent="0.25">
      <c r="A454" s="64"/>
      <c r="B454" s="82"/>
      <c r="C454" s="201" t="s">
        <v>38</v>
      </c>
      <c r="D454" s="200"/>
      <c r="E454" s="200">
        <v>320000</v>
      </c>
      <c r="F454" s="46"/>
    </row>
    <row r="455" spans="1:6" s="37" customFormat="1" x14ac:dyDescent="0.25">
      <c r="A455" s="64"/>
      <c r="B455" s="82"/>
      <c r="C455" s="196" t="s">
        <v>39</v>
      </c>
      <c r="D455" s="197"/>
      <c r="E455" s="197">
        <v>547000</v>
      </c>
      <c r="F455" s="46"/>
    </row>
    <row r="456" spans="1:6" s="37" customFormat="1" x14ac:dyDescent="0.25">
      <c r="A456" s="64"/>
      <c r="B456" s="82"/>
      <c r="C456" s="201" t="s">
        <v>40</v>
      </c>
      <c r="D456" s="200"/>
      <c r="E456" s="200">
        <v>547000</v>
      </c>
      <c r="F456" s="46"/>
    </row>
    <row r="457" spans="1:6" s="37" customFormat="1" x14ac:dyDescent="0.25">
      <c r="A457" s="64"/>
      <c r="B457" s="82"/>
      <c r="C457" s="196" t="s">
        <v>41</v>
      </c>
      <c r="D457" s="197"/>
      <c r="E457" s="197">
        <f>+E458+E459+E460+E461+E462+E463+E464</f>
        <v>4750000</v>
      </c>
      <c r="F457" s="46"/>
    </row>
    <row r="458" spans="1:6" s="37" customFormat="1" x14ac:dyDescent="0.25">
      <c r="A458" s="64"/>
      <c r="B458" s="82"/>
      <c r="C458" s="201" t="s">
        <v>42</v>
      </c>
      <c r="D458" s="200"/>
      <c r="E458" s="200">
        <v>250000</v>
      </c>
      <c r="F458" s="46"/>
    </row>
    <row r="459" spans="1:6" s="37" customFormat="1" x14ac:dyDescent="0.25">
      <c r="A459" s="64"/>
      <c r="B459" s="82"/>
      <c r="C459" s="204" t="s">
        <v>43</v>
      </c>
      <c r="D459" s="200"/>
      <c r="E459" s="200">
        <v>1000000</v>
      </c>
      <c r="F459" s="46"/>
    </row>
    <row r="460" spans="1:6" s="37" customFormat="1" x14ac:dyDescent="0.25">
      <c r="A460" s="64"/>
      <c r="B460" s="82"/>
      <c r="C460" s="204" t="s">
        <v>44</v>
      </c>
      <c r="D460" s="200"/>
      <c r="E460" s="200">
        <v>400000</v>
      </c>
      <c r="F460" s="46"/>
    </row>
    <row r="461" spans="1:6" s="37" customFormat="1" x14ac:dyDescent="0.25">
      <c r="A461" s="64"/>
      <c r="B461" s="82"/>
      <c r="C461" s="204" t="s">
        <v>45</v>
      </c>
      <c r="D461" s="200"/>
      <c r="E461" s="200">
        <v>600000</v>
      </c>
      <c r="F461" s="46"/>
    </row>
    <row r="462" spans="1:6" s="37" customFormat="1" x14ac:dyDescent="0.25">
      <c r="A462" s="64"/>
      <c r="B462" s="82"/>
      <c r="C462" s="204" t="s">
        <v>46</v>
      </c>
      <c r="D462" s="200"/>
      <c r="E462" s="200">
        <v>250000</v>
      </c>
      <c r="F462" s="46"/>
    </row>
    <row r="463" spans="1:6" s="37" customFormat="1" x14ac:dyDescent="0.25">
      <c r="A463" s="64"/>
      <c r="B463" s="82"/>
      <c r="C463" s="204" t="s">
        <v>47</v>
      </c>
      <c r="D463" s="200"/>
      <c r="E463" s="200">
        <f>2000000</f>
        <v>2000000</v>
      </c>
      <c r="F463" s="46"/>
    </row>
    <row r="464" spans="1:6" s="37" customFormat="1" x14ac:dyDescent="0.25">
      <c r="A464" s="64"/>
      <c r="B464" s="82"/>
      <c r="C464" s="204" t="s">
        <v>48</v>
      </c>
      <c r="D464" s="200"/>
      <c r="E464" s="200">
        <v>250000</v>
      </c>
      <c r="F464" s="46"/>
    </row>
    <row r="465" spans="1:6" s="37" customFormat="1" x14ac:dyDescent="0.25">
      <c r="A465" s="64"/>
      <c r="B465" s="82"/>
      <c r="C465" s="196" t="s">
        <v>49</v>
      </c>
      <c r="D465" s="197"/>
      <c r="E465" s="197">
        <f>+E466+E467+E468+E469</f>
        <v>2193000</v>
      </c>
      <c r="F465" s="46"/>
    </row>
    <row r="466" spans="1:6" s="37" customFormat="1" x14ac:dyDescent="0.25">
      <c r="A466" s="64"/>
      <c r="B466" s="82"/>
      <c r="C466" s="201" t="s">
        <v>50</v>
      </c>
      <c r="D466" s="200"/>
      <c r="E466" s="200">
        <v>500000</v>
      </c>
      <c r="F466" s="46"/>
    </row>
    <row r="467" spans="1:6" s="37" customFormat="1" x14ac:dyDescent="0.25">
      <c r="A467" s="64"/>
      <c r="B467" s="82"/>
      <c r="C467" s="201" t="s">
        <v>51</v>
      </c>
      <c r="D467" s="200"/>
      <c r="E467" s="200">
        <v>1000000</v>
      </c>
      <c r="F467" s="46"/>
    </row>
    <row r="468" spans="1:6" s="37" customFormat="1" x14ac:dyDescent="0.25">
      <c r="A468" s="64"/>
      <c r="B468" s="82"/>
      <c r="C468" s="201" t="s">
        <v>52</v>
      </c>
      <c r="D468" s="200"/>
      <c r="E468" s="200">
        <v>500000</v>
      </c>
      <c r="F468" s="46"/>
    </row>
    <row r="469" spans="1:6" s="37" customFormat="1" x14ac:dyDescent="0.25">
      <c r="A469" s="64"/>
      <c r="B469" s="82"/>
      <c r="C469" s="201" t="s">
        <v>53</v>
      </c>
      <c r="D469" s="200"/>
      <c r="E469" s="200">
        <v>193000</v>
      </c>
      <c r="F469" s="46"/>
    </row>
    <row r="470" spans="1:6" s="37" customFormat="1" x14ac:dyDescent="0.25">
      <c r="A470" s="64"/>
      <c r="B470" s="82"/>
      <c r="C470" s="196" t="s">
        <v>54</v>
      </c>
      <c r="D470" s="197"/>
      <c r="E470" s="197">
        <f>+E471+E472+E473+E474+E475+E476+E477</f>
        <v>28681000</v>
      </c>
      <c r="F470" s="46"/>
    </row>
    <row r="471" spans="1:6" s="37" customFormat="1" x14ac:dyDescent="0.25">
      <c r="A471" s="64"/>
      <c r="B471" s="82"/>
      <c r="C471" s="204" t="s">
        <v>55</v>
      </c>
      <c r="D471" s="200"/>
      <c r="E471" s="200">
        <v>3000000</v>
      </c>
      <c r="F471" s="46"/>
    </row>
    <row r="472" spans="1:6" s="37" customFormat="1" x14ac:dyDescent="0.25">
      <c r="A472" s="64"/>
      <c r="B472" s="82"/>
      <c r="C472" s="204" t="s">
        <v>56</v>
      </c>
      <c r="D472" s="200"/>
      <c r="E472" s="200">
        <v>2200000</v>
      </c>
      <c r="F472" s="46"/>
    </row>
    <row r="473" spans="1:6" s="37" customFormat="1" x14ac:dyDescent="0.25">
      <c r="A473" s="64"/>
      <c r="B473" s="82"/>
      <c r="C473" s="201" t="s">
        <v>57</v>
      </c>
      <c r="D473" s="200"/>
      <c r="E473" s="200">
        <v>400000</v>
      </c>
      <c r="F473" s="46"/>
    </row>
    <row r="474" spans="1:6" s="86" customFormat="1" x14ac:dyDescent="0.25">
      <c r="A474" s="65"/>
      <c r="B474" s="82"/>
      <c r="C474" s="204" t="s">
        <v>58</v>
      </c>
      <c r="D474" s="200"/>
      <c r="E474" s="200">
        <v>5800000</v>
      </c>
      <c r="F474" s="50"/>
    </row>
    <row r="475" spans="1:6" s="37" customFormat="1" x14ac:dyDescent="0.25">
      <c r="A475" s="64"/>
      <c r="B475" s="82"/>
      <c r="C475" s="204" t="s">
        <v>59</v>
      </c>
      <c r="D475" s="200"/>
      <c r="E475" s="200">
        <v>7000000</v>
      </c>
      <c r="F475" s="46"/>
    </row>
    <row r="476" spans="1:6" s="37" customFormat="1" x14ac:dyDescent="0.25">
      <c r="A476" s="64"/>
      <c r="B476" s="82"/>
      <c r="C476" s="204" t="s">
        <v>60</v>
      </c>
      <c r="D476" s="200"/>
      <c r="E476" s="200">
        <v>1700000</v>
      </c>
      <c r="F476" s="46"/>
    </row>
    <row r="477" spans="1:6" s="37" customFormat="1" x14ac:dyDescent="0.25">
      <c r="A477" s="64"/>
      <c r="B477" s="82"/>
      <c r="C477" s="204" t="s">
        <v>61</v>
      </c>
      <c r="D477" s="200"/>
      <c r="E477" s="200">
        <v>8581000</v>
      </c>
      <c r="F477" s="46"/>
    </row>
    <row r="478" spans="1:6" s="37" customFormat="1" x14ac:dyDescent="0.25">
      <c r="A478" s="64"/>
      <c r="B478" s="82"/>
      <c r="C478" s="196" t="s">
        <v>62</v>
      </c>
      <c r="D478" s="197"/>
      <c r="E478" s="197">
        <f>+E479</f>
        <v>0</v>
      </c>
      <c r="F478" s="46"/>
    </row>
    <row r="479" spans="1:6" s="37" customFormat="1" x14ac:dyDescent="0.25">
      <c r="A479" s="64"/>
      <c r="B479" s="82"/>
      <c r="C479" s="201" t="s">
        <v>63</v>
      </c>
      <c r="D479" s="200"/>
      <c r="E479" s="200">
        <v>0</v>
      </c>
      <c r="F479" s="50"/>
    </row>
    <row r="480" spans="1:6" s="37" customFormat="1" x14ac:dyDescent="0.25">
      <c r="A480" s="64"/>
      <c r="B480" s="82"/>
      <c r="C480" s="196" t="s">
        <v>64</v>
      </c>
      <c r="D480" s="197"/>
      <c r="E480" s="197">
        <f>+E481+E482</f>
        <v>1400000</v>
      </c>
      <c r="F480" s="46"/>
    </row>
    <row r="481" spans="1:6" s="37" customFormat="1" x14ac:dyDescent="0.25">
      <c r="A481" s="64"/>
      <c r="B481" s="82"/>
      <c r="C481" s="201" t="s">
        <v>65</v>
      </c>
      <c r="D481" s="200"/>
      <c r="E481" s="200">
        <v>1000000</v>
      </c>
      <c r="F481" s="46"/>
    </row>
    <row r="482" spans="1:6" s="37" customFormat="1" x14ac:dyDescent="0.25">
      <c r="A482" s="64"/>
      <c r="B482" s="82"/>
      <c r="C482" s="201" t="s">
        <v>66</v>
      </c>
      <c r="D482" s="200"/>
      <c r="E482" s="200">
        <v>400000</v>
      </c>
      <c r="F482" s="46"/>
    </row>
    <row r="483" spans="1:6" s="37" customFormat="1" x14ac:dyDescent="0.25">
      <c r="A483" s="64"/>
      <c r="B483" s="82"/>
      <c r="C483" s="196" t="s">
        <v>67</v>
      </c>
      <c r="D483" s="197"/>
      <c r="E483" s="197">
        <f>+E484+E485+E486+E487+E488</f>
        <v>1700000</v>
      </c>
      <c r="F483" s="46"/>
    </row>
    <row r="484" spans="1:6" s="37" customFormat="1" x14ac:dyDescent="0.25">
      <c r="A484" s="64"/>
      <c r="B484" s="82"/>
      <c r="C484" s="204" t="s">
        <v>68</v>
      </c>
      <c r="D484" s="200"/>
      <c r="E484" s="200">
        <v>800000</v>
      </c>
      <c r="F484" s="46"/>
    </row>
    <row r="485" spans="1:6" s="37" customFormat="1" x14ac:dyDescent="0.25">
      <c r="A485" s="64"/>
      <c r="B485" s="82"/>
      <c r="C485" s="201" t="s">
        <v>69</v>
      </c>
      <c r="D485" s="200"/>
      <c r="E485" s="200">
        <v>300000</v>
      </c>
      <c r="F485" s="46"/>
    </row>
    <row r="486" spans="1:6" s="37" customFormat="1" x14ac:dyDescent="0.25">
      <c r="A486" s="64"/>
      <c r="B486" s="82"/>
      <c r="C486" s="201" t="s">
        <v>140</v>
      </c>
      <c r="D486" s="200"/>
      <c r="E486" s="200">
        <v>0</v>
      </c>
      <c r="F486" s="46"/>
    </row>
    <row r="487" spans="1:6" s="37" customFormat="1" x14ac:dyDescent="0.25">
      <c r="A487" s="64"/>
      <c r="B487" s="82"/>
      <c r="C487" s="201" t="s">
        <v>70</v>
      </c>
      <c r="D487" s="200"/>
      <c r="E487" s="200">
        <v>0</v>
      </c>
      <c r="F487" s="46"/>
    </row>
    <row r="488" spans="1:6" s="37" customFormat="1" x14ac:dyDescent="0.25">
      <c r="A488" s="64"/>
      <c r="B488" s="82"/>
      <c r="C488" s="201" t="s">
        <v>71</v>
      </c>
      <c r="D488" s="200"/>
      <c r="E488" s="200">
        <v>600000</v>
      </c>
      <c r="F488" s="46"/>
    </row>
    <row r="489" spans="1:6" s="37" customFormat="1" x14ac:dyDescent="0.25">
      <c r="A489" s="64"/>
      <c r="B489" s="82"/>
      <c r="C489" s="205" t="s">
        <v>72</v>
      </c>
      <c r="D489" s="203"/>
      <c r="E489" s="203">
        <v>100000</v>
      </c>
      <c r="F489" s="46"/>
    </row>
    <row r="490" spans="1:6" s="37" customFormat="1" x14ac:dyDescent="0.25">
      <c r="A490" s="64"/>
      <c r="B490" s="82"/>
      <c r="C490" s="201" t="s">
        <v>73</v>
      </c>
      <c r="D490" s="200"/>
      <c r="E490" s="200">
        <v>100000</v>
      </c>
      <c r="F490" s="46"/>
    </row>
    <row r="491" spans="1:6" s="37" customFormat="1" x14ac:dyDescent="0.25">
      <c r="A491" s="64"/>
      <c r="B491" s="82"/>
      <c r="C491" s="205" t="s">
        <v>195</v>
      </c>
      <c r="D491" s="200"/>
      <c r="E491" s="200"/>
      <c r="F491" s="50">
        <f>+F492</f>
        <v>0</v>
      </c>
    </row>
    <row r="492" spans="1:6" s="37" customFormat="1" x14ac:dyDescent="0.25">
      <c r="A492" s="64"/>
      <c r="B492" s="82"/>
      <c r="C492" s="201" t="s">
        <v>141</v>
      </c>
      <c r="D492" s="200"/>
      <c r="E492" s="200"/>
      <c r="F492" s="46">
        <v>0</v>
      </c>
    </row>
    <row r="493" spans="1:6" s="37" customFormat="1" x14ac:dyDescent="0.25">
      <c r="A493" s="64"/>
      <c r="B493" s="82"/>
      <c r="C493" s="205" t="s">
        <v>74</v>
      </c>
      <c r="D493" s="200"/>
      <c r="E493" s="200"/>
      <c r="F493" s="50">
        <f>+F494+F495</f>
        <v>500000</v>
      </c>
    </row>
    <row r="494" spans="1:6" s="37" customFormat="1" ht="24" customHeight="1" x14ac:dyDescent="0.25">
      <c r="A494" s="64"/>
      <c r="B494" s="82"/>
      <c r="C494" s="201" t="s">
        <v>196</v>
      </c>
      <c r="D494" s="200"/>
      <c r="E494" s="200"/>
      <c r="F494" s="46">
        <v>0</v>
      </c>
    </row>
    <row r="495" spans="1:6" s="37" customFormat="1" x14ac:dyDescent="0.25">
      <c r="A495" s="64"/>
      <c r="B495" s="82"/>
      <c r="C495" s="201" t="s">
        <v>197</v>
      </c>
      <c r="D495" s="200"/>
      <c r="E495" s="200"/>
      <c r="F495" s="46">
        <v>500000</v>
      </c>
    </row>
    <row r="496" spans="1:6" x14ac:dyDescent="0.25">
      <c r="A496" s="64"/>
      <c r="B496" s="7"/>
      <c r="C496" s="206"/>
      <c r="D496" s="207"/>
      <c r="E496" s="207"/>
      <c r="F496" s="177"/>
    </row>
    <row r="497" spans="1:6" x14ac:dyDescent="0.25">
      <c r="A497" s="64"/>
      <c r="C497" s="172" t="s">
        <v>82</v>
      </c>
      <c r="D497" s="208">
        <f>+D446+D448+D451+D453+D457+D465+D470+D478+D480+D483+D489</f>
        <v>0</v>
      </c>
      <c r="E497" s="208">
        <v>61221000</v>
      </c>
      <c r="F497" s="208">
        <f>+F491+F493</f>
        <v>500000</v>
      </c>
    </row>
    <row r="498" spans="1:6" x14ac:dyDescent="0.25">
      <c r="A498" s="64"/>
      <c r="C498" s="172"/>
      <c r="D498" s="208"/>
      <c r="E498" s="46"/>
      <c r="F498" s="208"/>
    </row>
    <row r="499" spans="1:6" x14ac:dyDescent="0.25">
      <c r="A499" s="64"/>
      <c r="C499" s="4" t="s">
        <v>394</v>
      </c>
      <c r="D499" s="209"/>
      <c r="E499" s="190"/>
    </row>
    <row r="500" spans="1:6" ht="18" customHeight="1" x14ac:dyDescent="0.25">
      <c r="A500" s="64"/>
      <c r="D500" s="209"/>
      <c r="E500" s="46"/>
    </row>
    <row r="501" spans="1:6" x14ac:dyDescent="0.25">
      <c r="A501" s="64"/>
      <c r="C501" s="6" t="s">
        <v>75</v>
      </c>
      <c r="D501" s="210"/>
      <c r="E501" s="50">
        <f>F33</f>
        <v>869440876.56999993</v>
      </c>
    </row>
    <row r="502" spans="1:6" x14ac:dyDescent="0.25">
      <c r="A502" s="64"/>
      <c r="C502" s="6" t="s">
        <v>80</v>
      </c>
      <c r="D502" s="210"/>
      <c r="E502" s="50">
        <f>F223</f>
        <v>77383123.430000007</v>
      </c>
    </row>
    <row r="503" spans="1:6" x14ac:dyDescent="0.25">
      <c r="A503" s="64"/>
      <c r="C503" s="6" t="s">
        <v>120</v>
      </c>
      <c r="D503" s="210"/>
      <c r="E503" s="50">
        <f>F280</f>
        <v>60160000</v>
      </c>
    </row>
    <row r="504" spans="1:6" x14ac:dyDescent="0.25">
      <c r="A504" s="64"/>
      <c r="C504" s="6" t="s">
        <v>189</v>
      </c>
      <c r="D504" s="210"/>
      <c r="E504" s="50">
        <f>F322</f>
        <v>3465000</v>
      </c>
    </row>
    <row r="505" spans="1:6" x14ac:dyDescent="0.25">
      <c r="A505" s="64"/>
      <c r="C505" s="6" t="s">
        <v>76</v>
      </c>
      <c r="D505" s="210"/>
      <c r="E505" s="50">
        <f>F440</f>
        <v>14532000</v>
      </c>
    </row>
    <row r="506" spans="1:6" x14ac:dyDescent="0.25">
      <c r="A506" s="64"/>
      <c r="C506" s="6" t="s">
        <v>77</v>
      </c>
      <c r="D506" s="210"/>
      <c r="E506" s="50">
        <f>E497</f>
        <v>61221000</v>
      </c>
    </row>
    <row r="507" spans="1:6" x14ac:dyDescent="0.25">
      <c r="A507" s="64"/>
      <c r="C507" s="6" t="s">
        <v>78</v>
      </c>
      <c r="D507" s="210"/>
      <c r="E507" s="50">
        <f>F497</f>
        <v>500000</v>
      </c>
    </row>
    <row r="508" spans="1:6" x14ac:dyDescent="0.25">
      <c r="A508" s="64"/>
      <c r="B508" s="7"/>
      <c r="C508" s="7"/>
      <c r="D508" s="211"/>
      <c r="E508" s="177"/>
      <c r="F508" s="177"/>
    </row>
    <row r="509" spans="1:6" x14ac:dyDescent="0.25">
      <c r="A509" s="64"/>
      <c r="C509" s="172" t="s">
        <v>85</v>
      </c>
      <c r="D509" s="210"/>
      <c r="E509" s="50">
        <f>SUM(E501:E508)</f>
        <v>1086702000</v>
      </c>
      <c r="F509" s="212"/>
    </row>
    <row r="510" spans="1:6" x14ac:dyDescent="0.25">
      <c r="A510" s="64"/>
      <c r="C510" s="172"/>
      <c r="D510" s="210"/>
      <c r="F510" s="212"/>
    </row>
    <row r="511" spans="1:6" ht="36.6" customHeight="1" x14ac:dyDescent="0.25">
      <c r="A511" s="64"/>
      <c r="B511" s="67"/>
      <c r="C511" s="256"/>
      <c r="D511" s="256"/>
      <c r="E511" s="256"/>
      <c r="F511" s="256"/>
    </row>
    <row r="512" spans="1:6" x14ac:dyDescent="0.25">
      <c r="A512" s="64"/>
      <c r="B512" s="67"/>
      <c r="C512" s="64"/>
      <c r="D512" s="77"/>
      <c r="E512" s="66"/>
      <c r="F512" s="66"/>
    </row>
    <row r="513" spans="1:5" x14ac:dyDescent="0.25">
      <c r="A513" s="64"/>
      <c r="E513" s="46"/>
    </row>
    <row r="514" spans="1:5" x14ac:dyDescent="0.25">
      <c r="A514" s="64"/>
      <c r="C514" s="4" t="s">
        <v>470</v>
      </c>
      <c r="D514" s="88" t="s">
        <v>299</v>
      </c>
      <c r="E514" s="46"/>
    </row>
    <row r="515" spans="1:5" ht="28.5" customHeight="1" x14ac:dyDescent="0.25">
      <c r="A515" s="64"/>
      <c r="D515" s="88" t="s">
        <v>469</v>
      </c>
      <c r="E515" s="46"/>
    </row>
    <row r="519" spans="1:5" x14ac:dyDescent="0.25">
      <c r="E519" s="50">
        <f>SUBTOTAL(109,E16:E438)</f>
        <v>1024980999.9999999</v>
      </c>
    </row>
  </sheetData>
  <autoFilter ref="A1:A515" xr:uid="{00000000-0009-0000-0000-000000000000}"/>
  <mergeCells count="60">
    <mergeCell ref="C511:F511"/>
    <mergeCell ref="C185:F185"/>
    <mergeCell ref="C169:F169"/>
    <mergeCell ref="C174:F174"/>
    <mergeCell ref="C179:F179"/>
    <mergeCell ref="C255:F255"/>
    <mergeCell ref="C190:F190"/>
    <mergeCell ref="C195:F195"/>
    <mergeCell ref="C207:F207"/>
    <mergeCell ref="C217:D217"/>
    <mergeCell ref="C218:F218"/>
    <mergeCell ref="C442:F442"/>
    <mergeCell ref="C439:F439"/>
    <mergeCell ref="C261:F261"/>
    <mergeCell ref="C324:D324"/>
    <mergeCell ref="C266:F266"/>
    <mergeCell ref="C271:F271"/>
    <mergeCell ref="C315:F315"/>
    <mergeCell ref="C282:F282"/>
    <mergeCell ref="C292:F292"/>
    <mergeCell ref="C299:F299"/>
    <mergeCell ref="C307:F307"/>
    <mergeCell ref="C276:F276"/>
    <mergeCell ref="C284:F284"/>
    <mergeCell ref="C42:F42"/>
    <mergeCell ref="C53:F53"/>
    <mergeCell ref="C325:D325"/>
    <mergeCell ref="C314:D314"/>
    <mergeCell ref="B259:E259"/>
    <mergeCell ref="C233:D233"/>
    <mergeCell ref="C232:F232"/>
    <mergeCell ref="C238:F238"/>
    <mergeCell ref="C227:F227"/>
    <mergeCell ref="C250:F250"/>
    <mergeCell ref="B253:E253"/>
    <mergeCell ref="C241:F241"/>
    <mergeCell ref="C248:F248"/>
    <mergeCell ref="C243:F243"/>
    <mergeCell ref="C63:F63"/>
    <mergeCell ref="C76:F76"/>
    <mergeCell ref="C1:E1"/>
    <mergeCell ref="C2:E2"/>
    <mergeCell ref="C15:F15"/>
    <mergeCell ref="C37:F37"/>
    <mergeCell ref="C41:D41"/>
    <mergeCell ref="C96:F96"/>
    <mergeCell ref="C106:D106"/>
    <mergeCell ref="A73:C73"/>
    <mergeCell ref="A88:C88"/>
    <mergeCell ref="C91:F91"/>
    <mergeCell ref="C101:F101"/>
    <mergeCell ref="C145:F145"/>
    <mergeCell ref="C154:F154"/>
    <mergeCell ref="C159:F159"/>
    <mergeCell ref="C164:F164"/>
    <mergeCell ref="C107:F107"/>
    <mergeCell ref="C117:F117"/>
    <mergeCell ref="C126:F126"/>
    <mergeCell ref="C139:F139"/>
    <mergeCell ref="C144:D144"/>
  </mergeCells>
  <phoneticPr fontId="4" type="noConversion"/>
  <pageMargins left="0.19685039370078741" right="0" top="0" bottom="0" header="0.31496062992125984" footer="0.31496062992125984"/>
  <pageSetup paperSize="9" scale="65" fitToHeight="0" orientation="landscape" r:id="rId1"/>
  <rowBreaks count="15" manualBreakCount="15">
    <brk id="33" max="16383" man="1"/>
    <brk id="60" max="16383" man="1"/>
    <brk id="99" max="5" man="1"/>
    <brk id="136" max="5" man="1"/>
    <brk id="172" max="5" man="1"/>
    <brk id="193" max="5" man="1"/>
    <brk id="223" max="5" man="1"/>
    <brk id="258" max="16383" man="1"/>
    <brk id="280" max="16383" man="1"/>
    <brk id="313" max="16383" man="1"/>
    <brk id="322" max="16383" man="1"/>
    <brk id="365" max="16383" man="1"/>
    <brk id="419" max="5" man="1"/>
    <brk id="441" max="16383" man="1"/>
    <brk id="48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opsezi</vt:lpstr>
      </vt:variant>
      <vt:variant>
        <vt:i4>1</vt:i4>
      </vt:variant>
    </vt:vector>
  </HeadingPairs>
  <TitlesOfParts>
    <vt:vector size="2" baseType="lpstr">
      <vt:lpstr>фЦС ПЛАН 2025.</vt:lpstr>
      <vt:lpstr>'фЦС ПЛАН 2025.'!Oblast_štampanja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Snezana Marić</dc:creator>
  <cp:lastModifiedBy>Bojan Đurovac</cp:lastModifiedBy>
  <cp:lastPrinted>2025-12-09T08:47:56Z</cp:lastPrinted>
  <dcterms:created xsi:type="dcterms:W3CDTF">2015-01-09T09:45:15Z</dcterms:created>
  <dcterms:modified xsi:type="dcterms:W3CDTF">2025-12-09T09:01:30Z</dcterms:modified>
</cp:coreProperties>
</file>