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3"/>
  <workbookPr showInkAnnotation="0" autoCompressPictures="0"/>
  <mc:AlternateContent xmlns:mc="http://schemas.openxmlformats.org/markup-compatibility/2006">
    <mc:Choice Requires="x15">
      <x15ac:absPath xmlns:x15ac="http://schemas.microsoft.com/office/spreadsheetml/2010/11/ac" url="/Users/Marija/Desktop/"/>
    </mc:Choice>
  </mc:AlternateContent>
  <xr:revisionPtr revIDLastSave="0" documentId="8_{5CFADAC1-8D0F-744F-B3A6-AC459C7846AF}" xr6:coauthVersionLast="45" xr6:coauthVersionMax="45" xr10:uidLastSave="{00000000-0000-0000-0000-000000000000}"/>
  <bookViews>
    <workbookView xWindow="860" yWindow="460" windowWidth="35700" windowHeight="18880" tabRatio="793" xr2:uid="{00000000-000D-0000-FFFF-FFFF00000000}"/>
  </bookViews>
  <sheets>
    <sheet name="фЦС ПЛАН 2021." sheetId="6" r:id="rId1"/>
  </sheets>
  <definedNames>
    <definedName name="_xlnm._FilterDatabase" localSheetId="0" hidden="1">'фЦС ПЛАН 2021.'!$A$1:$A$579</definedName>
    <definedName name="_ftn1" localSheetId="0">'фЦС ПЛАН 2021.'!#REF!</definedName>
    <definedName name="_ftnref1" localSheetId="0">'фЦС ПЛАН 2021.'!#REF!</definedName>
    <definedName name="_xlnm.Print_Area" localSheetId="0">'фЦС ПЛАН 2021.'!$A$1:$J$579</definedName>
  </definedNames>
  <calcPr calcId="191029" iterate="1" iterateCount="32767" iterateDelta="300000000000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55" i="6" l="1"/>
  <c r="E212" i="6"/>
  <c r="E38" i="6"/>
  <c r="E211" i="6"/>
  <c r="E165" i="6"/>
  <c r="E405" i="6"/>
  <c r="E406" i="6"/>
  <c r="F409" i="6"/>
  <c r="E413" i="6"/>
  <c r="E414" i="6"/>
  <c r="E415" i="6"/>
  <c r="F416" i="6"/>
  <c r="E420" i="6"/>
  <c r="E421" i="6"/>
  <c r="E422" i="6"/>
  <c r="F423" i="6"/>
  <c r="E428" i="6"/>
  <c r="E429" i="6"/>
  <c r="F431" i="6"/>
  <c r="E435" i="6"/>
  <c r="E436" i="6"/>
  <c r="E438" i="6"/>
  <c r="F440" i="6"/>
  <c r="E444" i="6"/>
  <c r="E445" i="6"/>
  <c r="E446" i="6"/>
  <c r="E448" i="6"/>
  <c r="F449" i="6"/>
  <c r="E453" i="6"/>
  <c r="E454" i="6"/>
  <c r="E455" i="6"/>
  <c r="E456" i="6"/>
  <c r="F457" i="6"/>
  <c r="E464" i="6"/>
  <c r="E465" i="6"/>
  <c r="F466" i="6"/>
  <c r="E473" i="6"/>
  <c r="E474" i="6"/>
  <c r="E475" i="6"/>
  <c r="F476" i="6"/>
  <c r="E482" i="6"/>
  <c r="E486" i="6"/>
  <c r="F487" i="6"/>
  <c r="F492" i="6"/>
  <c r="F499" i="6"/>
  <c r="F501" i="6"/>
  <c r="E264" i="6"/>
  <c r="E266" i="6"/>
  <c r="F267" i="6"/>
  <c r="E337" i="6"/>
  <c r="E395" i="6"/>
  <c r="E338" i="6"/>
  <c r="E109" i="6"/>
  <c r="E135" i="6"/>
  <c r="E175" i="6"/>
  <c r="E389" i="6"/>
  <c r="E396" i="6"/>
  <c r="F397" i="6"/>
  <c r="F339" i="6"/>
  <c r="E87" i="6"/>
  <c r="E145" i="6"/>
  <c r="E150" i="6"/>
  <c r="E159" i="6"/>
  <c r="E182" i="6"/>
  <c r="E190" i="6"/>
  <c r="E305" i="6"/>
  <c r="E86" i="6"/>
  <c r="E92" i="6"/>
  <c r="E226" i="6"/>
  <c r="F390" i="6"/>
  <c r="E353" i="6"/>
  <c r="F40" i="6"/>
  <c r="E67" i="6"/>
  <c r="E75" i="6"/>
  <c r="E76" i="6"/>
  <c r="E84" i="6"/>
  <c r="E93" i="6"/>
  <c r="E99" i="6"/>
  <c r="E118" i="6"/>
  <c r="E185" i="6"/>
  <c r="E54" i="6"/>
  <c r="E63" i="6"/>
  <c r="E65" i="6"/>
  <c r="E82" i="6"/>
  <c r="E91" i="6"/>
  <c r="E96" i="6"/>
  <c r="E97" i="6"/>
  <c r="E102" i="6"/>
  <c r="E103" i="6"/>
  <c r="E114" i="6"/>
  <c r="E115" i="6"/>
  <c r="E116" i="6"/>
  <c r="E132" i="6"/>
  <c r="E134" i="6"/>
  <c r="E141" i="6"/>
  <c r="E152" i="6"/>
  <c r="E166" i="6"/>
  <c r="E173" i="6"/>
  <c r="E174" i="6"/>
  <c r="E196" i="6"/>
  <c r="E198" i="6"/>
  <c r="E204" i="6"/>
  <c r="E205" i="6"/>
  <c r="E345" i="6"/>
  <c r="F58" i="6"/>
  <c r="F77" i="6"/>
  <c r="E85" i="6"/>
  <c r="E81" i="6"/>
  <c r="E89" i="6"/>
  <c r="E100" i="6"/>
  <c r="E95" i="6"/>
  <c r="F104" i="6"/>
  <c r="E108" i="6"/>
  <c r="E117" i="6"/>
  <c r="E122" i="6"/>
  <c r="F123" i="6"/>
  <c r="E128" i="6"/>
  <c r="E129" i="6"/>
  <c r="D127" i="6"/>
  <c r="E131" i="6"/>
  <c r="D130" i="6"/>
  <c r="F137" i="6"/>
  <c r="F146" i="6"/>
  <c r="F155" i="6"/>
  <c r="F161" i="6"/>
  <c r="F169" i="6"/>
  <c r="F178" i="6"/>
  <c r="F186" i="6"/>
  <c r="F191" i="6"/>
  <c r="E199" i="6"/>
  <c r="F200" i="6"/>
  <c r="E206" i="6"/>
  <c r="F207" i="6"/>
  <c r="F213" i="6"/>
  <c r="F48" i="6"/>
  <c r="F215" i="6"/>
  <c r="G215" i="6"/>
  <c r="H215" i="6"/>
  <c r="I215" i="6"/>
  <c r="J215" i="6"/>
  <c r="K215" i="6"/>
  <c r="F222" i="6"/>
  <c r="E231" i="6"/>
  <c r="E232" i="6"/>
  <c r="F236" i="6"/>
  <c r="F248" i="6"/>
  <c r="E259" i="6"/>
  <c r="F260" i="6"/>
  <c r="F272" i="6"/>
  <c r="F280" i="6"/>
  <c r="F285" i="6"/>
  <c r="F290" i="6"/>
  <c r="F296" i="6"/>
  <c r="F301" i="6"/>
  <c r="F306" i="6"/>
  <c r="F312" i="6"/>
  <c r="F317" i="6"/>
  <c r="F322" i="6"/>
  <c r="F331" i="6"/>
  <c r="G331" i="6"/>
  <c r="H331" i="6"/>
  <c r="I331" i="6"/>
  <c r="J331" i="6"/>
  <c r="K331" i="6"/>
  <c r="F346" i="6"/>
  <c r="F354" i="6"/>
  <c r="F362" i="6"/>
  <c r="F370" i="6"/>
  <c r="F377" i="6"/>
  <c r="F384" i="6"/>
  <c r="F42" i="6"/>
  <c r="D559" i="6"/>
  <c r="D568" i="6"/>
  <c r="F559" i="6"/>
  <c r="G500" i="6"/>
  <c r="H500" i="6"/>
  <c r="I500" i="6"/>
  <c r="J500" i="6"/>
  <c r="K500" i="6"/>
  <c r="G398" i="6"/>
  <c r="H398" i="6"/>
  <c r="I398" i="6"/>
  <c r="J398" i="6"/>
  <c r="K398" i="6"/>
  <c r="D13" i="6"/>
  <c r="D569" i="6"/>
  <c r="D563" i="6"/>
  <c r="D7" i="6"/>
  <c r="F399" i="6"/>
  <c r="D11" i="6"/>
  <c r="D12" i="6"/>
  <c r="D8" i="6"/>
  <c r="D9" i="6"/>
  <c r="D566" i="6"/>
  <c r="D567" i="6"/>
  <c r="D10" i="6"/>
  <c r="F502" i="6"/>
  <c r="D565" i="6"/>
  <c r="D15" i="6"/>
  <c r="D564" i="6"/>
  <c r="D573" i="6"/>
  <c r="E11" i="6"/>
  <c r="E7" i="6"/>
  <c r="E8" i="6"/>
  <c r="E13" i="6"/>
  <c r="E9" i="6"/>
  <c r="E12" i="6"/>
  <c r="E10" i="6"/>
  <c r="E15" i="6"/>
</calcChain>
</file>

<file path=xl/sharedStrings.xml><?xml version="1.0" encoding="utf-8"?>
<sst xmlns="http://schemas.openxmlformats.org/spreadsheetml/2006/main" count="753" uniqueCount="588">
  <si>
    <t>ТОТАЛ</t>
  </si>
  <si>
    <t>Слање филмова и осталих материјала за селекцију</t>
  </si>
  <si>
    <t>Путни трошкови</t>
  </si>
  <si>
    <t>Оброци</t>
  </si>
  <si>
    <t xml:space="preserve">Преносиве акредитациjе </t>
  </si>
  <si>
    <t>Штампање каталога, позивница и постера</t>
  </si>
  <si>
    <t>Припадаjуће дневнице</t>
  </si>
  <si>
    <t>Смештаj</t>
  </si>
  <si>
    <t>Путно осигурање</t>
  </si>
  <si>
    <t>Дневнице</t>
  </si>
  <si>
    <t>Акредитациjе</t>
  </si>
  <si>
    <t>Преносиве акредитациjе</t>
  </si>
  <si>
    <t>ФЦС је члан Европске филмске промоције, организације која настоји да укаже и наметне европски филм на маркетима, фестивалима у свету. Чланством у ЕФП смањују се појединачни трошкови промоциjе филма у свету, посебно на маркетима у Азији и Америци.</t>
  </si>
  <si>
    <t>Каталог, огласи и постери - припрема, дизаjн</t>
  </si>
  <si>
    <t>Превод и лектура (каталог, текстови за огласе, locations)</t>
  </si>
  <si>
    <t>Поклони партнерима</t>
  </si>
  <si>
    <t>Авио карте</t>
  </si>
  <si>
    <t>Сарајево таленти</t>
  </si>
  <si>
    <t>50 EUR x 8 особа</t>
  </si>
  <si>
    <t>Чланство</t>
  </si>
  <si>
    <t xml:space="preserve">FNE  Film New Europe Association jе платформа филмских професионалаца Источне, Централне Европе и Балтичке региjе. Основана jе од стране наjважниjих филмских институциjа у региjи. У оквиру асоциjациjе постоjи и webportal, коjи обавештава цео регион о актуелним дешавањима.   </t>
  </si>
  <si>
    <t>Годишња чланарина</t>
  </si>
  <si>
    <t>Авионске карте</t>
  </si>
  <si>
    <t>Котизациjа за радионице</t>
  </si>
  <si>
    <t>Смештај</t>
  </si>
  <si>
    <t>Дневнице за представнике ФЦС</t>
  </si>
  <si>
    <t>Промотивни материјали на штанду (торбе, УСБ картице)</t>
  </si>
  <si>
    <t>Слање филмова и материјала</t>
  </si>
  <si>
    <t>Превоз страних експерата у локалу</t>
  </si>
  <si>
    <t>Радни ручкови</t>
  </si>
  <si>
    <t>Припрема каталога (прикупљање и обрада података и материјала за филмове)</t>
  </si>
  <si>
    <t>Превод</t>
  </si>
  <si>
    <t>Штампа</t>
  </si>
  <si>
    <t>ТОТАЛ МЕЂУНАРОДНА</t>
  </si>
  <si>
    <t>Маркет Канског филмског фестивала</t>
  </si>
  <si>
    <t>Маркет Берлинског филмског фестивала</t>
  </si>
  <si>
    <t>Сараjево филм фестивал</t>
  </si>
  <si>
    <t>Закуп простора и опреме</t>
  </si>
  <si>
    <t>Годишњи састанци Дескова Креативне Европе</t>
  </si>
  <si>
    <t xml:space="preserve">Учешће на годишњим састанцима Дескова Креативне Европе из целе Европе. На годишњем нивоу  EACEA  и DG CNECT организују два годишња састанка у трајању од 4 дана на којима је обавезно присуство свих дескова. Место састанака биће накнадно одређено.  </t>
  </si>
  <si>
    <t xml:space="preserve">Дневнице (2 особе x 4 дана x 2 састанка ) </t>
  </si>
  <si>
    <t>Авио карте (2 особе x 2 путовања)</t>
  </si>
  <si>
    <t>Регионална и прекогранична сарадња са другим десковима</t>
  </si>
  <si>
    <t xml:space="preserve">Организација и учешће 4 регионалне прекограничне сарадње са другим десковима из региона (Словенија, Хрватска, Босна и Херцеговина, Македонија, Црна Гора, Бугарска и Албанија) у трајању од 4 дана. </t>
  </si>
  <si>
    <t>Хотелски смештај  (2 особе x 2 састанка x 4 ноћења)</t>
  </si>
  <si>
    <t>Авио карте (1 особа x 4 путовања)</t>
  </si>
  <si>
    <t>15 EUR х 16 дана х 1 особа</t>
  </si>
  <si>
    <t>Хотелски смештај  (1 особа x 16 ноћења)</t>
  </si>
  <si>
    <t xml:space="preserve">Дневнице (1 особа x 4 дана x 4 сарадње ) </t>
  </si>
  <si>
    <t>65 EUR х 1 особа  х 16 ноћења</t>
  </si>
  <si>
    <t>15 EUR х 2 особе х 4 дана х 2 састанка</t>
  </si>
  <si>
    <t xml:space="preserve">Организација промотивног догађаја </t>
  </si>
  <si>
    <t>250 EUR x 1 особа х 4 путовања</t>
  </si>
  <si>
    <t xml:space="preserve">Организација 4 инфодана у Србији: општа презентација MEDIA потпрограма.   </t>
  </si>
  <si>
    <t>20 EUR x 12 дана  x 1 особа</t>
  </si>
  <si>
    <t>Дневнице (1 особа x 12 дана)</t>
  </si>
  <si>
    <t>50 EUR x 4 путовања  x 1 особа</t>
  </si>
  <si>
    <t>Закуп опреме и простора (4 догађаја)</t>
  </si>
  <si>
    <t>Презентација MEDIA потпрограма</t>
  </si>
  <si>
    <t>Оброци за госте</t>
  </si>
  <si>
    <t>Посета 4 домаћа филмска фестивала и организација MEDIA деск инфо штанда</t>
  </si>
  <si>
    <t>50 EUR x 4 ноћи x 1 особа</t>
  </si>
  <si>
    <t>Присуство на интернационалним филмским маркетима</t>
  </si>
  <si>
    <t>Присуство на домаћим филмским фестивалима</t>
  </si>
  <si>
    <t>350 EUR x 1 особа  x 4 фестивала</t>
  </si>
  <si>
    <t>50 EUR x 28 ноћења x 1 особа</t>
  </si>
  <si>
    <t xml:space="preserve">Издавање брошуре MEDIA деска Србије: годишња бошура са кратким прегледом свих конкурса који постоје у оквиру MEDIA потпрограма и успешних пројеката из Србије који су подржани од стране MEDIA потпрограма. </t>
  </si>
  <si>
    <t>Брошура MEDIA деска</t>
  </si>
  <si>
    <t>Промоција MEDIA деска</t>
  </si>
  <si>
    <t xml:space="preserve">Рекламирање у каталозима филмских фестивала </t>
  </si>
  <si>
    <t>Промотивни материјал (торбе, свеске, оловке, цегери)</t>
  </si>
  <si>
    <t>ТОТАЛ MEDIA ПРОГРАМ</t>
  </si>
  <si>
    <t>Хонорари</t>
  </si>
  <si>
    <t>Хонорар администратора ФБ страница MEDIA деска</t>
  </si>
  <si>
    <t>Хотелски смештај  (1 особа x 3 ноћења x 4 догађаја)</t>
  </si>
  <si>
    <t>Путни трошкови  (1 особа x 4 путовања)</t>
  </si>
  <si>
    <t>Дневнице (1 особа x 8 дана )</t>
  </si>
  <si>
    <t xml:space="preserve">20 EUR x 2 дана x 4 фестивала x 1 особа </t>
  </si>
  <si>
    <t>Путни  трошкови (1 особа x 4 путовања)</t>
  </si>
  <si>
    <t>Хотелски смештај (1 особа x 4 ноћења)</t>
  </si>
  <si>
    <t>Дневнице (1 особа x 7 дана x 4 фестивала )</t>
  </si>
  <si>
    <t xml:space="preserve">15 EUR x 7 дана x 4 фестивала </t>
  </si>
  <si>
    <t>Путни трошкови (1 особа x 4 путовања)</t>
  </si>
  <si>
    <t>Хотелски смештај (1 особа x 7 ноћења x 4 фестивала)</t>
  </si>
  <si>
    <t>20 EUR x 3 ноћење x 1 особа x 4 догађаја</t>
  </si>
  <si>
    <t>50 EUR x 1 особа x 4 фестивала</t>
  </si>
  <si>
    <t xml:space="preserve">Дугометражни играни филм </t>
  </si>
  <si>
    <t>Комерцијални филм</t>
  </si>
  <si>
    <t>Филм са националном темом</t>
  </si>
  <si>
    <t>Развој и унапређење сценарија</t>
  </si>
  <si>
    <t>Преддигитализација и дигитализација</t>
  </si>
  <si>
    <t>Мањинске продукције</t>
  </si>
  <si>
    <t>Израда индекса</t>
  </si>
  <si>
    <t>Лектура/коректура</t>
  </si>
  <si>
    <t>Трошкови слања књига</t>
  </si>
  <si>
    <t>Закуп штанда</t>
  </si>
  <si>
    <t>ТОТАЛ ИЗДАВАШТВО</t>
  </si>
  <si>
    <t>ЗАХТЕВ УСТАНОВЕ / средства из БУЏЕТА</t>
  </si>
  <si>
    <t>ОПИС</t>
  </si>
  <si>
    <t>РЕДОВНА ДЕЛАТНОСТ</t>
  </si>
  <si>
    <t>ПРОГРАМИ И ИНВЕСТИЦИЈЕ</t>
  </si>
  <si>
    <t>Зараде</t>
  </si>
  <si>
    <t>Плате,  додаци и накнаде запослених</t>
  </si>
  <si>
    <t xml:space="preserve">Социјални доприноси </t>
  </si>
  <si>
    <t>Допринос за пензијско и инвалидско осигурање</t>
  </si>
  <si>
    <t>Допринос за здравствено осигурање</t>
  </si>
  <si>
    <t xml:space="preserve">Социјална давања запосленима </t>
  </si>
  <si>
    <t>Накнаде трошкова за запослене</t>
  </si>
  <si>
    <t xml:space="preserve">Награде запосленима </t>
  </si>
  <si>
    <t xml:space="preserve">Награде запосленима и ост.посеб.расходи </t>
  </si>
  <si>
    <t>Стални трошкови</t>
  </si>
  <si>
    <t>Трошкови платног промета и банкарских услуга</t>
  </si>
  <si>
    <t>Енергетске услуге</t>
  </si>
  <si>
    <t>Комуналне услуге</t>
  </si>
  <si>
    <t>Услуге комуникација</t>
  </si>
  <si>
    <t>Трошкови осигурања</t>
  </si>
  <si>
    <t>Закуп имовине и опреме</t>
  </si>
  <si>
    <t>Остали трошкови</t>
  </si>
  <si>
    <t>Трошкови  путовања</t>
  </si>
  <si>
    <t>Трошкови службених путовања у земљи</t>
  </si>
  <si>
    <t>Трошкови службених путовања  у иностранству</t>
  </si>
  <si>
    <t>Трошкови путовања у оквиру редовног рада</t>
  </si>
  <si>
    <t>Остали трошкови транспорта</t>
  </si>
  <si>
    <t>Услуге по уговору</t>
  </si>
  <si>
    <t>Административне услуге</t>
  </si>
  <si>
    <t>Компјутерске услуге</t>
  </si>
  <si>
    <t>Услуге образовања и усавршавања запослених</t>
  </si>
  <si>
    <t>Услуге информисања</t>
  </si>
  <si>
    <t>Стручне услуге</t>
  </si>
  <si>
    <t>Репрезентација</t>
  </si>
  <si>
    <t>Остале опште услуге</t>
  </si>
  <si>
    <t>Специјализоване услуге</t>
  </si>
  <si>
    <t>Услуге образовања, културе и спорта</t>
  </si>
  <si>
    <t>Текуће поправке и одржавање</t>
  </si>
  <si>
    <t>Текуће поправке и одржавање зграда и објеката</t>
  </si>
  <si>
    <t>Текуће поправке и одржавање зграда опреме</t>
  </si>
  <si>
    <t>Материјал</t>
  </si>
  <si>
    <t>Административни материјал</t>
  </si>
  <si>
    <t>Материјали за образовање и усавршавање заопослених</t>
  </si>
  <si>
    <t>Материјали за образовање, културу и спорт</t>
  </si>
  <si>
    <t>Материјали за одржавање хигијене и угоститељство</t>
  </si>
  <si>
    <t>Порези таске и казне</t>
  </si>
  <si>
    <t>Обавезне таксе</t>
  </si>
  <si>
    <t>Машине и опрема</t>
  </si>
  <si>
    <t>Опрема за образовање, науку, културу и спорт</t>
  </si>
  <si>
    <t>КОНКУРСИ</t>
  </si>
  <si>
    <t>ИЗДАВАШТВО</t>
  </si>
  <si>
    <t>ТЕКУЋИ ТРОШКОВИ (РЕДОВНА ДЕЛАТНОСТ)</t>
  </si>
  <si>
    <t>ИНВЕСТИЦИЈЕ И ОПРЕМА</t>
  </si>
  <si>
    <t>ТОТАЛ КОНКУРСИ</t>
  </si>
  <si>
    <t xml:space="preserve">МЕЂУНАРОДНА САРАДЊА И ПРОМОЦИЈА </t>
  </si>
  <si>
    <t>Филмски центар Србије</t>
  </si>
  <si>
    <t>ТОТАЛ РЕДОВНА ДЕЛАТНОСТ И ИНВЕСТИЦИЈЕ</t>
  </si>
  <si>
    <t xml:space="preserve">ТОТАЛ ПРОГРАМИ </t>
  </si>
  <si>
    <t>MEDIA ДЕСК СРБИЈЕ</t>
  </si>
  <si>
    <t>Администрирање конкурса (конкурсне комисије, комисија за правдање средстава, супервизор продукције документарних филмова, супервизор продукције играних филмова, оглашавање текста конкурса у дневној штампи, правне услуге)</t>
  </si>
  <si>
    <t>Студентски завршни филм</t>
  </si>
  <si>
    <t>Ауторска права</t>
  </si>
  <si>
    <t>Дугометражни документарни филм</t>
  </si>
  <si>
    <t>Краткометражни играни филм</t>
  </si>
  <si>
    <t>Краткометражни анимирани филм</t>
  </si>
  <si>
    <t>Краткометражни документарни филм</t>
  </si>
  <si>
    <t>Директор Филмског центра Србиjе</t>
  </si>
  <si>
    <t xml:space="preserve">ТОТАЛ ПРОГРАМИ, РЕДОВНА ДЕЛАТНОСТ И ИНВЕСТИЦИЈЕ </t>
  </si>
  <si>
    <t>РСД</t>
  </si>
  <si>
    <t>CineLink - Награда ФЦС</t>
  </si>
  <si>
    <t>Исплата накнада за време одуствовања с посла на терет фондова</t>
  </si>
  <si>
    <t>Авионске карте за представнике ФЦС</t>
  </si>
  <si>
    <t>20.000 х 2 особе</t>
  </si>
  <si>
    <t>15 EUR х 10 дана</t>
  </si>
  <si>
    <t>15 EUR x 2 особe x 4 дана x 15 фестивала</t>
  </si>
  <si>
    <t xml:space="preserve">Смештаj учесника </t>
  </si>
  <si>
    <t xml:space="preserve">Пријем / ручак за госте </t>
  </si>
  <si>
    <t>Трст - When East Meets West</t>
  </si>
  <si>
    <t>Награда филмског центра Србије за најбољи пројекат у развоју</t>
  </si>
  <si>
    <t>Радни ручак</t>
  </si>
  <si>
    <t>Трошкови реализације програма - Награда младе публике</t>
  </si>
  <si>
    <t>Филмски центар Србије, Радио-телевизија Србије, Културни центар Београд, Југословенска кинотека, Отворени универзитет Суботица / Фестивал европског филма Палић, Удружење грађана „Поглед у свет“ / Фестивал ауторског филма, Фонд Б92 / Фестивал Слободна зона, Међународни фестивал документарног филма под називом „БЕЛДОКС“ и чланови породице Небојше Поповића додељује годишњу Награду ”Небојша Поповић” појединцу или групи која је својим посебним активностима и залагањем дала значајан и дуготрајан допринос промоцији и критичком промишљању филмске уметности и културе, посебно домаћег филма.</t>
  </si>
  <si>
    <t>Новчани износ награде добитнику</t>
  </si>
  <si>
    <t>Уметнички обликовани предмет</t>
  </si>
  <si>
    <t>REACT / партнерство и учешће продуцената из Србије</t>
  </si>
  <si>
    <t xml:space="preserve">Котизација за учешће српских продуцената </t>
  </si>
  <si>
    <t>Хонорари координатора програма (део који се финансира из буџета Министарства културе и информисања)</t>
  </si>
  <si>
    <t>80 EUR х 2 особе х 4 дана х 2 састанка</t>
  </si>
  <si>
    <t xml:space="preserve">250 EUR x 2 особe х 2 </t>
  </si>
  <si>
    <t xml:space="preserve">Присуство на 4 интернационална филмска маркета у трајању до 7 дана: Берлинаре и Кански маркет и још два која ће накнадно бити одређена у зависности од планираних годишњих активности MEDIA канцеларија свих Дескова у Европи и  активности EACEA  и DG CNECT у оквиру тих маркета. </t>
  </si>
  <si>
    <t>Промоција MEDIA деска обухвата неколико активности: израда промотивних материјала, рекламирање MEDIA потпрограма и MEDIA деска у каталозима домаћих филмских фестивала, рекламирање, организација 3 промотивна догађаја током следећих догађаја: Fest Forward и два догађаја ће накнадно бити одређени</t>
  </si>
  <si>
    <t>Хонорар координатора програма</t>
  </si>
  <si>
    <t>Хонорар ПР</t>
  </si>
  <si>
    <t>Дизајн плаката</t>
  </si>
  <si>
    <t>Штампа плаката</t>
  </si>
  <si>
    <t>ФБ кампања</t>
  </si>
  <si>
    <t xml:space="preserve">Путни трошкови (најам возила са возачем) </t>
  </si>
  <si>
    <t>Трошкови слања филмова</t>
  </si>
  <si>
    <t>Трошкови телефона</t>
  </si>
  <si>
    <t>Трошкови организације</t>
  </si>
  <si>
    <t xml:space="preserve">Организација мрежних догађаја, награде и остале услуге из области културе </t>
  </si>
  <si>
    <t>260 EUR x 4 огласа</t>
  </si>
  <si>
    <t>Лекутра/коректура</t>
  </si>
  <si>
    <t>Прелом и дизајн</t>
  </si>
  <si>
    <t>Ауторски хонорар</t>
  </si>
  <si>
    <t>Хонорари особља на штанду</t>
  </si>
  <si>
    <t>Промотивни трошкови (плакати, промоције)</t>
  </si>
  <si>
    <t>Филмски центар Србиjе  и струковно удружење документариста, ДокСрбиjа организуjу два пута годишње (пролеће и jесен) тродневне едукативне радионице за подизање капацитета у области продукциjе документарних филмова. Радионице су фокусиране на писање и “паковање” проjеката документарних филмова, jеднако за домаће и међународне конкурсе, као и за пласман на интернационалним маркетима.</t>
  </si>
  <si>
    <t>Експериментални филм и видео арт</t>
  </si>
  <si>
    <t>Фонд за подршку, подстицање и промоцију српског филма у земљи и свету</t>
  </si>
  <si>
    <t>Дугометражни играни филм за децу и омладину</t>
  </si>
  <si>
    <t>Дебитантски дугометражни  филм</t>
  </si>
  <si>
    <t>Отпремнина приликом одласка у пензију</t>
  </si>
  <si>
    <t>15 EUR х 4 дана</t>
  </si>
  <si>
    <t>40.000 RSD x 2 особе</t>
  </si>
  <si>
    <t>Маркет у Кану је, традиционално, најзначајније место за промоцију кинематографије. Наредно издање овог фестивала је изузетна прилика да се крунишу напори који су учињени током 2020.  и представе сви они филмови који су већ побрали велику пажњу међународне и домаће јавности као и филмови који још увек нису имали светску премијеру. Већ етаблирани регионални штанд у Кану jе идеална позициjа за промоциjу српског филма.</t>
  </si>
  <si>
    <t>Додатна опрема на штанду</t>
  </si>
  <si>
    <t>Авио превоз за представникe ФЦС и 6 одабраних продуцената са пројектима</t>
  </si>
  <si>
    <t xml:space="preserve">Дневнице за представникe ФЦС </t>
  </si>
  <si>
    <t>Оглашавање у страним и домаћим филмским часописима и ПР</t>
  </si>
  <si>
    <t>REACT је заједничка развојна иницијатива (Италија, Словенија, Хрватска) коју је 2015. године италијански ФВГ аудиовизуелни фонд. Главни циљ је подстицање међународне копродукције у региону кроз две различите и комплементарне фазе: 1) платформа за обуку у којој професионалци могу развити своје пројекте и упознати потенцијалне копродуценте; 2) шема за финансирање заједничког развоја пројеката, која подразумева подршку дугометражних играних, документарних и кратких анимараних филмова у копродукцији са најмање две земље које учествују у REACT -у. Од 2019. године Србија је уз Словенију, Италију и Хрватску пуноправни члан REACT-а и самим тим српски филмски професионалци  су сада у прилици да похађаjу броjне REACT радионице и да се приjављуjу за програм копродукционог финансирања у склопу поменуте инциjативе. ФЦС би сносио трошкове транспорта за учеснике из Србије а сами учесници би сносили трошкове смештаја.</t>
  </si>
  <si>
    <t>15 EUR x 1 особа x 3 дана</t>
  </si>
  <si>
    <t>Акредитације за продуценте</t>
  </si>
  <si>
    <t>FIRST FILMS FIRST</t>
  </si>
  <si>
    <t>FIRST FILMS FIRST jе jеднини свеобухватни, континуални професионални тренинг програм намењен младим редитељима Jугоисточне Европе коjи развиjаjу своjе прве дугометражне игране филмове. Састоjи од 4 модула/радионице, осмишљених тако да омогуће учесницима да развиjу своj први играни филм. Седиште програма jе у Београду, где се одвиjа и наjкомплексниjа радионица. Сви људи коjи су укључени у осмишљавање и вођење програма из наше земље, FFF позиционира Србиjу на значаjно место у регионалним филмским оквирима. Имаjући у виду значаj програма, ФЦС би и наредне године партиципирао у финансиjским трошковима радонице која се одвија у Београду. Средства би као и до сада била утрошена на покривање трошкова смештаjа, путних трошкова и оброка учесника и тутора, хонораре тутора, као и дела трошкова снимања (изнаjмљивање технике за снимање и постпродукциjу).</t>
  </si>
  <si>
    <t>Део трошкова организације радионице</t>
  </si>
  <si>
    <t>Авио карте (Праг, Загреб, Љубљана - 7 авио карата)</t>
  </si>
  <si>
    <t>300  EUR x 3 + 150 EUR x 4</t>
  </si>
  <si>
    <t>Путни трошкови за представника ФЦС</t>
  </si>
  <si>
    <t>Награда ”Небојша Поповић”</t>
  </si>
  <si>
    <t>Награда младе публике - Young Audience Award European film academy</t>
  </si>
  <si>
    <t>Трошкови реализације радионице</t>
  </si>
  <si>
    <t>Едукативни догађаји</t>
  </si>
  <si>
    <t>Организација 1 семинара (2 инострана предавача)/1 тренинга (2 предавача)/ 1 предавања (3 предавача)</t>
  </si>
  <si>
    <t>Путни трошкови предавача (7 предавача)</t>
  </si>
  <si>
    <t>350 EUR х 7 предавача</t>
  </si>
  <si>
    <t>Хотелски смештај за предаваче семинара (7 особа х 3 ноћења)</t>
  </si>
  <si>
    <t>90 EUR  x 3  ноћења х 7 особа</t>
  </si>
  <si>
    <t>30 EUR  x 7 предавача х 3 дана</t>
  </si>
  <si>
    <t xml:space="preserve">ИДФА - промоциjа документарних филмова </t>
  </si>
  <si>
    <t xml:space="preserve">CPH: DOX - промоциjа документарних филмова  </t>
  </si>
  <si>
    <t xml:space="preserve">Радионице за документарни филм  </t>
  </si>
  <si>
    <t>FNE - Film New Europe Association</t>
  </si>
  <si>
    <t>Фонд за подршку посебним програмима</t>
  </si>
  <si>
    <t>ДДФ - Дан домаћег филма</t>
  </si>
  <si>
    <t>10.000 RSD x 5 месеци</t>
  </si>
  <si>
    <t>6.400 RSD x 8 градова x 10 обилазака</t>
  </si>
  <si>
    <t>НСФ - Ноћ српског филма</t>
  </si>
  <si>
    <t xml:space="preserve">Развој домаће филмске публике </t>
  </si>
  <si>
    <t>Смештај предавача и учесника</t>
  </si>
  <si>
    <t>3.000 RSD x 50 учесника</t>
  </si>
  <si>
    <t>Путни трошкови иностраних предавача</t>
  </si>
  <si>
    <t>35.000 РСД x 3 предавача</t>
  </si>
  <si>
    <t>Путни трошкови учесника</t>
  </si>
  <si>
    <t>5.000 РСД x 53 особе</t>
  </si>
  <si>
    <t>Стимулације (гледаност, дистрибутера домаћег филма, учешћа домаћих филмова на страним фестивалима и приказиваштва)</t>
  </si>
  <si>
    <t>Смештај за учеснике</t>
  </si>
  <si>
    <t>Филмски центар Србије у сарадњи са Независним Филмским центром - Филмарт из Пожеге стратешки помаже развој филмске критике и критичког промишљања код младих филмских професионалаца, развијањем портала ”Филмоскопија”, који је део веб стране Филмског центра Србије.
”Филмоскопиjа” у свом садржаjу нуди критике домаћих и страних остварења, есеjе коjи пропитуjу феномене у друштву користећи филм или телевизиjу као jедну од главних референци и теориjске огледе који ће у фокусу имати како историjу филма, тако и актуелна остварења и њихов значаj. Поред тога, интервjуи с филмским радницима и значаjним именима у култури, отвориће простор за диjалог и размену мишљења.</t>
  </si>
  <si>
    <t>ФИЛМОСКОПИЈА</t>
  </si>
  <si>
    <t>Организација, уређивање, израда, објављивање и промоција текстова за потребе портала ”Филмоскопија”</t>
  </si>
  <si>
    <t>Репрограмирање рата са претходних конкурса</t>
  </si>
  <si>
    <t>Развој пројеката анимираног филма</t>
  </si>
  <si>
    <t>Развој пројеката дугометражног играног и документарног филма</t>
  </si>
  <si>
    <t>Караван српског филма</t>
  </si>
  <si>
    <t>Караван српског филма је десетодневна манифестација која је замишљена да се одвија у децембру месецу, сваке године када би биоскопска публика у мањим градовима у којима не постоје дигитализовани биоскопи, имала прилике да види дугометражне игране и документарне филмове, подржане од стране Филмског центра Србије, који су премијерно приказани у 2020. години. Ова манифестација би била организована у сарадњи са локалним самоуправама.</t>
  </si>
  <si>
    <t>2.100 RSD x 8 градова x 10 обилазака</t>
  </si>
  <si>
    <t>Најам опреме (платно, DCP пројектор, озвучење)</t>
  </si>
  <si>
    <t>100.000 RSD x 10 градова</t>
  </si>
  <si>
    <t xml:space="preserve">2.100 RSD x 10 градова </t>
  </si>
  <si>
    <t>10.000 RSD x 10 градова</t>
  </si>
  <si>
    <t xml:space="preserve">                          Гордан Матић</t>
  </si>
  <si>
    <t xml:space="preserve">600 EUR х 3 догађаја </t>
  </si>
  <si>
    <t>600 EUR x 4 догађаја</t>
  </si>
  <si>
    <t>Лектура-коректура</t>
  </si>
  <si>
    <t>Дизајн и прелом</t>
  </si>
  <si>
    <t>Подстицај децентрализацији рада ФИЛМСКОГ ЦЕНТРА СРБИЈЕ</t>
  </si>
  <si>
    <t>Занатске радионице за неформално образовање</t>
  </si>
  <si>
    <t>Рад на формирању услова отварања регионалних центара - представљање циљева децентрализације локалним самоуправама и модела сарадње</t>
  </si>
  <si>
    <t>Оперативни трошкови - дневнице</t>
  </si>
  <si>
    <t>Одржавање радионица за преквалификацију и дошколовавање суфицитарних кадрова у кинематографији</t>
  </si>
  <si>
    <t>Најам простора</t>
  </si>
  <si>
    <t>Најам опреме потребне за реализацију радионице ( фар, кран, агрегат, расветна тела…)</t>
  </si>
  <si>
    <t xml:space="preserve">Промотивне активности за анимацију полазника и присутност у  медијима током и након ликвидације програма </t>
  </si>
  <si>
    <t>Трошкови реализације</t>
  </si>
  <si>
    <t>Павиљон, изнајмљивање простора, изградња и декорација</t>
  </si>
  <si>
    <t>Четири прва програма као и шести и седми су годишње манифестациjе, већ етаблиране, са коjима ФЦС сарађуjе. Оне су модел за нове манифестациjе коjе се редовно поjављуjу, док се 5 односи на статус Србије као придружене земље Франкофоније. (МСП шаље филмове на франкофоне фестивале).</t>
  </si>
  <si>
    <t>1) Филманак - дани српског филма у Виртембергу у октобру, у сарадњи са Српском академском мрежом "Никола Тесла"</t>
  </si>
  <si>
    <t>2) Дани српског филма у Пули у априлу, у сарадњи са Српским културним центром</t>
  </si>
  <si>
    <t>3) Програм ”Српски дани” у оквир Филмског фестивала у Херцег Новом</t>
  </si>
  <si>
    <t>Трошкови на штанду</t>
  </si>
  <si>
    <t>ПР - промоција активности ФЦС</t>
  </si>
  <si>
    <t>%</t>
  </si>
  <si>
    <t>ОСКАР - номинациjа и подршка учешћу филма кандидата из Србиjе</t>
  </si>
  <si>
    <t xml:space="preserve">Подршка филму кандидату из Србиjе за награду Оскар за наjбољи филм ван енглеског говорног подручjа. Подразумева израду пропагандног материjала, пројекције, оглашавање у медиjима, путне трошкове представника филма и ангажовање међународног публицисте односно агенциjе за логистику и промоциjу у САД. </t>
  </si>
  <si>
    <t>Укупни трошкови промоције номинованог филма</t>
  </si>
  <si>
    <t>EAVE ON DEMAND</t>
  </si>
  <si>
    <t>Дневнице за представника ФЦС</t>
  </si>
  <si>
    <t>Стална активност ФЦС у промоцији српског филма је и подршка продуцентским кућама у слању промотивних материјала и DCP-јева фестивалима и филмским смотрама. За оне фестивале који немају праксу да ове трошкове покривају, ФЦС чини у интересу продуцентских кућа.</t>
  </si>
  <si>
    <t>Подршка "industry" сектору домаћих филмских фестивала</t>
  </si>
  <si>
    <t xml:space="preserve">Путни трошкови </t>
  </si>
  <si>
    <t>40.000 RSD x 6 особа</t>
  </si>
  <si>
    <t xml:space="preserve">Смештај </t>
  </si>
  <si>
    <t>180 ЕУР x 6 особа x 3 ноћења</t>
  </si>
  <si>
    <t>15 EUR х 4 дана x 2 особе</t>
  </si>
  <si>
    <t>Пријем</t>
  </si>
  <si>
    <t xml:space="preserve">Репрезентација </t>
  </si>
  <si>
    <t>2.000 RSD  x 4 особе</t>
  </si>
  <si>
    <t>40.000 RSD x 4 особе</t>
  </si>
  <si>
    <t xml:space="preserve">Имајући у виду да је у данашње време такозвани "industry" сектор неодвојиви део сваког важнијег филмског фестивала, идеја је да се овај сектор подржи како у оперативном, тако и у финансијском смислу. Поштујући конкурс Министарства културе и информисања за подршку фестивалима, ФЦС би се искључиво усмерио на подршку организацији копродукцијских маркета, креативних и едукативних радионица, предавања, професионалних састанака и умрежавања који се организују током трајања фестивала. Постојање квалитеног "industry" сектора у оквиру датог фестивала, значи присуство већег броја филмских професионалаца из Европе и света и самим тим се пружа могућност домаћим филмским професионалцима за бољим и квалитетнијим умрежавањем и отварају се врата за нове копродукције, европску или светску дистрибуцију, учешће на међународним фестивалима што све наравно продразумева промоцију српског филма и филмске индустрије. Одређен број домаћих фестивала је схватио значај професионалног сектора фестивала и уз подршку ФЦС оргранизова радионице, предавања, представљање пројеката... </t>
  </si>
  <si>
    <t>Средства којима jе омогућена стална подршка нашим ауторима и њиховим филмовима на наступима на међународним фестивалима и пичинг сесијама и радионицама. Намера је овог фонда да буде флексибилан и ефикасан, лако доступан на кратке рокове с обзиром да је немогуће планирати све оне позиве на фестивале и пичинг сесије. Фонд укључује пичинге, награде, путне трошкове, репрезентацију, тренинг и друго и подељен је у основне групе:
- Авионске карте / смештај за редитеља/продуцента (и у изузетним случаjевима неким другим члановима филмске екипе) за  пут на фестивал уколико jе филм у неком од званичних програма: Berlin, Kan, Venecija, Sandens, IDFA (Amsterdam), Peking, Moskva, Toronto, Montreal, Sarajevo, Pula, Thessaloniki, Sofia, Tokio, Shanghai, Busan, Roterdam, Leipzig, San Sebastian, Karlovy Vary, Les Arcs, Dok Lepizig, Warsaw..., као и за учешће на пичинзима и радионицама и копродукциjским маркетима: EAVE, Torino Film Lab, Berlinale Coproduction Market, Cinemart, Sofia Meetings, Toronto Producers Lab, MEDICI, AGORA Meetings Thessaloniki, Les Arcs, MFI Script, Leipzig Dok Copro market, CPH:LAB, IDFA, Lorcarno Step in, EX Oriente, Sundance Scriptwriters Lab, EURODOC, ACE, Erich Prommer Institute courses, First Film First, FILM TEEP (Film Training for East European Professionals), EP2C, Cartoon 360, EFA Master Class, VFX Script to Screen. Такође и авионске карте за стране експерте, селекторе/директоре фестивала, представнике фондова, продуценте и остале филмске професионалце коjи су значаjни за домаће ауторе и српску кинематографиjу уопште. 
- Котизациjа за поменуте радионице
- Пријеми у част српских филмова подразумевају организовање пријема на неком од значајних светских филмских фестивала уколико је филм из Србије ушао у један од званичних програма и сматра се да је неопходно филм додатно подржати
- У случају одржавања неке од радионица у Србији отвара се могућност за довођење експерата који би домаћим филмским профестионалцима омогућили посебне тренинге и ускостручна саветовања. 
- Поред филмских маркета у Берлину и Кану, ФЦС унапређуjе учешће аутора на маркетима филмских проjеката и филмским форумима у оквиру филмских фестивала. Поред продуцента и редитеља, маркети проjеката одлична су платформа за партнерске односе ФЦС са сродним институциjама, као и са иностраним ауторима проjеката коjима се представља конкурс ФЦС за мањинске копродукциjе и начини аплицирања.</t>
  </si>
  <si>
    <t>4) Фестивал српског филма у Хелсинкиjу у октобру, у сарадњи са српско-финским друштвом и Амбасадом РС у Хелсинкиjу</t>
  </si>
  <si>
    <t>Путни трошкови - 4 авионскe карте</t>
  </si>
  <si>
    <t>Интернет претплата и телефон</t>
  </si>
  <si>
    <t>15 EUR х 10 дана x 4 особе</t>
  </si>
  <si>
    <t>II део трошкова за Маркет 2021, jануар 2021.</t>
  </si>
  <si>
    <t>I део трошкова за Маркет 2022, септембар 2021.</t>
  </si>
  <si>
    <t>2.000 RSD х 6 особе</t>
  </si>
  <si>
    <t>Штанд и наjам опреме за штанд (штанд, панели, media wall, намештаj)</t>
  </si>
  <si>
    <t>Путни трошкови - 6 авионских карата</t>
  </si>
  <si>
    <t>40.000 RSD * 6 особа</t>
  </si>
  <si>
    <t>Берлинале је уз Фестивал у Кану и Венецији најзначајнији филмски фестивал на свету. Маркет Берлинског фестивала jе циљ и циљана група за све произвођаче, купце и промотере филмова. С обзиром на значаj представљања у Берлину и чињеницу да jе део трошкова покривен плаћањима у претходној години по моделу Early Bird, током јануара 2022. треба платити заостале обавезе, а током септембра 2021. треба платити обавезе за организациjу учешћа на Маркету 2022.</t>
  </si>
  <si>
    <t xml:space="preserve">САРАДЊА СА ФРАНЦУСКОМ ПО СПОРАЗУМУ У ОБЛАСТИ ФИЛМА </t>
  </si>
  <si>
    <t>Копрудукцијски маркет у Паризу</t>
  </si>
  <si>
    <t>Путни трошкови за представнике српских пројеката и представнике ФЦС</t>
  </si>
  <si>
    <t>14 гостију x 40.000 RSD</t>
  </si>
  <si>
    <t>14 гостију x 2 ноћења x 170 EUR</t>
  </si>
  <si>
    <t>Трансфер у локалу (од и до аеродрома)</t>
  </si>
  <si>
    <t>Радионица Атеље Варан</t>
  </si>
  <si>
    <t>Партнерство / трошкови организације</t>
  </si>
  <si>
    <t>Трансфер (од и до аеродрома и у локалу)</t>
  </si>
  <si>
    <t>Студио за анимирани филм Фуруна и Омладинска престоница Европе Нови Сад (ОПЕНС) планираjу да у 2021. години одрже 4 радионице анимациjе за средњошколце и студенте из Воjводине и целе Србиjе са траjањем од по 3 месеца. ОПЕНС jе краjем 2019. године у сарадњи са Матицом Српском одабрао 6 познатих српских пословица, а почетком 2020. године расписао конкурс за средње школе Воjводине да ученици напишу сценарио на тему тих 6 пословица. Студио Фуруна ће одабрати по 7 до 9 полазника по радионици и са њима уз детаљну супервизиjу и менторство произвести по jедан анимирани филм на свака 3 месеца. Млади талентовани аниматори ће на наjбољи начин проћи кроз све фазе израде кратког филма: развоj, продукциjу, обраду и све принципе и техничке аспекте овог креативног процеса.</t>
  </si>
  <si>
    <t>Радионица за анимирани филм - партнерство са Филмским центром Србије</t>
  </si>
  <si>
    <t>Трошкови организације 4 радионице</t>
  </si>
  <si>
    <t>Смештај у Београду</t>
  </si>
  <si>
    <t>100 ЕУР * 2 особе * 2 ноћења</t>
  </si>
  <si>
    <t>40.000 РСД * 2 особе</t>
  </si>
  <si>
    <t>Смештај у Annecy (Фестивал анимираног филма)</t>
  </si>
  <si>
    <t>3.000 РСД * 2 особе * 1 оброк * 3 дана</t>
  </si>
  <si>
    <t>Авионске карте за француске експерте</t>
  </si>
  <si>
    <t>Авионске карте за српске аниматоре</t>
  </si>
  <si>
    <t>50.000 РСД * 4 особа</t>
  </si>
  <si>
    <t>120 ЕУР * 4 особа * 3 ноћења</t>
  </si>
  <si>
    <t>Реализације сарадње између Француске и Србије на основу Уговора које су потписале Владе Србије и Француске приликом посете г. Макрона. Циљ је повећање броја билатералних копродукција, унапређење квалитета сарадње између две кинематографије, као и помоћ и подршка француских експерата у области анимације, централизације бископских Box office, аудио-визуелног закона и других области кинематографије.</t>
  </si>
  <si>
    <t>Као и сваке године, једно од стратешки важних тачака за промоцију српског филма је Сарајево филм фестивал. Филмови из Србије су у виће наврата последњих пет година побеђивали, пројекти из Србије добијали су подршку на CineLinku, десетине младих сваке године учествује на Saraјevo Talent Campusu... Осим учешћа у индустријском делу Фестивала представника ФЦС и подршке филмовима у програмима Фестивала, ФЦС сноси трошкове путa учесника Talent Campusa из Србије и спонзорише награду за најбољи пројекат на CineLinku.</t>
  </si>
  <si>
    <t>25.000 RSD x 9 чланова делегације</t>
  </si>
  <si>
    <t xml:space="preserve">Копродукциони форум When East Мeets West - WEMW се одржава у оквиру Међународног филмског фестивала у Трсту уз помоћ ФВГ аудиовизуелног фонда уз подршку Креативне Европе, Италиjанског министарства културе а у сарадњи са EAVE, већ дуги низ година. Главни циљ организовањa Форума WEMW, у сарадњи са ФЦС, доноси могућност да продуценти и проjекти из Србиjе који на њему учествују, стекну прилику да усаврше своја стручна знања и вештине, као и да стекну пословне контакте на међународном нивоу. За проjкте коjи су у развоjу отвара се могућност за међународне копродукциjе. На форуму годишње се окупља око 400 филмских професионалаца из целе Европе. ФЦС jе, као основни партнер и покровитељ главне награде заступљен у свим брошурама и програмима.
</t>
  </si>
  <si>
    <t>Aкредитације за учеснике</t>
  </si>
  <si>
    <t>У оквиру ИДФА - Међународног фестивала документарног филма у Амстердаму (новембар 2021), коjи jе jедан од наjвећих и наjважниjих фестивала документарног филма на свету, ФЦС планира представљање српских документарних филмова, имајући у виду веома позитивно искуство из претходних година. Такође, имаjући у виду да класичан маркет не постоjи и да продуценти самостално врше промоциjу у оквиру програма "Docs for Sale".</t>
  </si>
  <si>
    <t>40.000 x 6 особа</t>
  </si>
  <si>
    <t>Путни трошкови (2 представника ФЦС и представник документариста + 3 продуцента)</t>
  </si>
  <si>
    <t>190 EUR x 6 особе x 3 ноћења</t>
  </si>
  <si>
    <t>15 EUR x 2 особе x 4 дана</t>
  </si>
  <si>
    <t>CPH:DOX jе званично име међународног фестивала документарних филмова у Копенхагену. Ово jе наjвећи фестивал документарних филмова у Скандинавиjи, и jедан од наjутицаjниjих фестивала документарних филмова у свету. Фокус фестивала jе на независни документарни филм коjи се одликуjе иновативним приступом, као и на експерименталне и хибридне филмове. Паралелно са фестивалом се одржаваjу индустри програми: CPH FORUM, CPH Conference, CPH Academy, CPH LAB i SCIENCE FILM FORUM и други. Имајући у виду веома позитивно искуство из 2019. године (2020. фестивал је одржан on-line, уз смањен обим), идеја је да се настави сарадња са CPH:DOX фестивалом и у 2021. години. Концепт CPH FORUM-а је јединствен за ову врсту представљања пројеката као и  начин укључивања панелиста који служи за стварање окружења које стварно охрабрујуће делује на ауторе / продуценте који пројекат представљају.</t>
  </si>
  <si>
    <t>40.000 RSD x 5 oсоба</t>
  </si>
  <si>
    <t>Путни трошкови (представник ФЦС и представник документариста + 3 продуцента/аутора)</t>
  </si>
  <si>
    <t>120 EUR x 5 особа x 3 ноћења</t>
  </si>
  <si>
    <t>ДОМАЋА САРАДЊA</t>
  </si>
  <si>
    <t xml:space="preserve">Пројекат који је Европска филмска академија (ЕФА) лансирала 2011. а који је први пут остварен 2012. у шест европских градова, у коме је учествоваво и ФЦС својеврстан је образовно васпитни полигон за привлачење најмлађих филму, уметности и забави. ФЦС са Филмским фестивалом Слободна зона организуjе оваj целодневни програм почетком маjа 2021. </t>
  </si>
  <si>
    <t>Генерална скупштина у Хамбургу, новембар 2021 (путни трошкови)</t>
  </si>
  <si>
    <t>15 ЕUR * 2 дана</t>
  </si>
  <si>
    <t>Чланство у Европској филмској промоцији (European Film Promotion)</t>
  </si>
  <si>
    <t>Оглашавање и ПР у страним и домаћим филмским часописима у циљу промоције српске кинематографије.</t>
  </si>
  <si>
    <t>Учешће у трошковима заједничког пријема у Торонту</t>
  </si>
  <si>
    <t xml:space="preserve">Оглашавање у медијима </t>
  </si>
  <si>
    <t>Најам простора и опреме</t>
  </si>
  <si>
    <t xml:space="preserve">Трошкови транспорта у локалу (од/до аеродрома, до/од Врњачке Бање...) </t>
  </si>
  <si>
    <t>100 ЕУР * 4 дана</t>
  </si>
  <si>
    <t>Поклони и промо материјали за учеснике радионице (торбе, свеске, оловке, фасцикле)</t>
  </si>
  <si>
    <t>Хонорари за чланове комисије</t>
  </si>
  <si>
    <t>60.000 РСД * 5 чланова</t>
  </si>
  <si>
    <t>Изнајмљивање сале</t>
  </si>
  <si>
    <t>500 ЕУР * два дана</t>
  </si>
  <si>
    <t xml:space="preserve">Кафе паузе </t>
  </si>
  <si>
    <t>20.000 RSD x 4 особе</t>
  </si>
  <si>
    <t>15 EUR x 4 дана x 4 особе</t>
  </si>
  <si>
    <t>Путни трошкови за 2 туторa и представника EAVE</t>
  </si>
  <si>
    <t>Tрошкови смештаја за учеснике, туторe, представника  ЕAVE и представнике ФЦС</t>
  </si>
  <si>
    <t>20 ЕУР * 20 гостију</t>
  </si>
  <si>
    <t>6.000 RSD x 2 месеца</t>
  </si>
  <si>
    <t xml:space="preserve">Рад на развоју независне биоскопске мреже </t>
  </si>
  <si>
    <t>МЕЂУНАРОДНА САРАДЊА</t>
  </si>
  <si>
    <t>Филмски центар Србије подстакао је мале приказиваче да се удруже у независну биоскопску мрежу како би заједнички развијали филмску културу широм Србије. У 2021. ФЦС жели да учествује у развоју независне биоскопске мреже и професионалном усавршавању филмских уредника и кинооператера у независној биоскопској мрежи, што је логичан наставак дигитализацији биоскопа широм Србије.</t>
  </si>
  <si>
    <t>10.000 RSD x 3 месеца</t>
  </si>
  <si>
    <t>6.000 RSD x 3 месеца</t>
  </si>
  <si>
    <t>2.000 RSD x 3  месеца</t>
  </si>
  <si>
    <t>2.000 RSD x 3 месеца</t>
  </si>
  <si>
    <t>5.000 RSD x 3  месеца</t>
  </si>
  <si>
    <t>Дугометражни анимирани филм</t>
  </si>
  <si>
    <r>
      <t xml:space="preserve">Филмски центар Србије током 2021. године намерава да распише конкурсе у 21 конкурсних категорија. Неке од конкурсних категорија биће расписане и два пута у току године. Наставља се са расписивањем конкурса у категоријама за националну тему и комерцијални репертоарски филм. </t>
    </r>
    <r>
      <rPr>
        <sz val="12"/>
        <color theme="1"/>
        <rFont val="Arial Narrow"/>
        <family val="2"/>
      </rPr>
      <t>Први пут, у току 2021. биће расписан Конкурс за реномиране филмске редитеље.</t>
    </r>
    <r>
      <rPr>
        <sz val="12"/>
        <rFont val="Arial Narrow"/>
        <family val="2"/>
      </rPr>
      <t xml:space="preserve"> Почев од 2017. године, а по налогу Државне ревизије, Филмски центар Србије уплаћује средства добитницима на рачуне отворене код Управе за трезор. За све конкурсне категорије, осим дугметражног играног филма, уплаћују се комплетна средства. Начин финансирања дугометражних играних филмова подразумева вишегодишње планирање средстава.</t>
    </r>
  </si>
  <si>
    <t>КОНКУРСИ - План и програм  2021.</t>
  </si>
  <si>
    <t>TОТАЛ ДОМАЋА САРАДЊА</t>
  </si>
  <si>
    <t>ДОМАЋА САРАДЊА</t>
  </si>
  <si>
    <t>MEDIA ДЕСК СРБИЈЕ - план и програм 2021.</t>
  </si>
  <si>
    <t xml:space="preserve">Циљ MEDIA деска јесте да пружи подршку представницима аудиовизуелног и мултимедијалног сектора који желе да обезбеде учешће у потпрограму MEDIA. Потпрограм MEDIA у оквиру програма Кретивна Европа подстиче развој европског аудиовизуелног и мултимедијалног сектора, дајући подршку: развоју, дистрибуцији и промоцији европских играних, анимираних и документарних филмова и телевизијских серија, развоју и промоцији нових медијских садржаја, стручном усавршавању филмских професионалаца, развоју нових технологија и платформи за дистрибуцију аудиовизуелног садржаја, филмским фестивалима и развоју публике.
Кроз консултације, јавне догађаје и едукативне и мрежне активности које организује, MEDIA деск информише о могућностима које пружа MEDIA потпрограм и пружа подршку и савете за конкурисање. Сви догађаји који се планирају у раду деска током 2021. године треба да допринесу развоју аудиовизуелног сектора у Србији са једне стране и промоцији потпрограма MEDIA са друге. Задатак MEDIA деска јесте да промовише потпрограм MEDIA као јединствену прилику за финансиранје развоја аудиовизуелног сектора у земљама чланицама кроз организацијусопствених иницијатива као што су семинари, радионице, инфо дани и тренинзи, промовише, подржава и чествује уи прекограничној сарадњи, али и да учествује у догађајима и активностима који су на међународном нивоу организовани од стране EACEA  и DG CNECT .
Циљеви MEDIA потпрограма су:
- Јачање европског аудиовизуелног и мултимедијалног сектора наглашавајући европски идентитет, наслеђе и културну разноликост;
- Већа присутност европских аудиовизуелних дела на међународном тржишту;
- Јачање и подстицање иновативности и конкурентности европског аудиовизуелног сектора.
Финансирање је доступно у неколико категорија које обухватају: подршку продуцентима за развој иновативних и конкурентних пројеката из области филма, ТВ програма и видео игара, подршку дистрибуцији европских аудиовизуелних дела, развој публике и професионално усавршавање и умрежавање.
У 2021 години MEDIA деск Србије планира да, поред уобичајних активности које подразумевају континуирану пружање информација о MEDIA потпрограму и конкурсима који постоје у оквиру MEDIA потпрограма и асистирања у развоју апликација, организује и инфо дане,  едукативне програме и семинаре који ће бити фокусирани на специфичне проблеме филмске индустрије и аудиовизуелног сектора у Србији и учествује на домаћим, регионалним и интернационалним филмским фестивалима.продаjе и дистрибуциjе, сценариjа, камере, звука, дизаjна сценографиjе, нових технологиjа и анимациjе. </t>
  </si>
  <si>
    <t>ПЛАН И ПРОГРАМ ЗА 2021. ГОДИНУ</t>
  </si>
  <si>
    <t>Услуге ПР пројекта</t>
  </si>
  <si>
    <t>Позивни конкурс - домаћи аутори</t>
  </si>
  <si>
    <t xml:space="preserve">Експерти за сценарио </t>
  </si>
  <si>
    <t>2000 EUR * 2 особе</t>
  </si>
  <si>
    <t>60 ЕУР * 2 особе * 5 ноћења</t>
  </si>
  <si>
    <t>Анимација (Радионица за анимацију)</t>
  </si>
  <si>
    <t>Дигитализација и рестаурација  U - MATIC трака</t>
  </si>
  <si>
    <t>Филмски центар Србије завршио је попис и документацију свих материјалних добара и докумената у својим магацинима и сматрамо да би било неопходно сачувати одређене снимке и документе, од којих су већина из краја 70-их и 80-их. Такође неопходна је дигитализација Годишњака ради лакшег сналажења и проналажења материјала.</t>
  </si>
  <si>
    <t>Дигитализација и рестаурација грађе Филмског центра Србије</t>
  </si>
  <si>
    <t>ПРИКАЗ ПЛАНИРАНИХ РАСХОДА ФЦС У 2021.</t>
  </si>
  <si>
    <t>Обим страна: 500 страна</t>
  </si>
  <si>
    <t xml:space="preserve">Скенирање фотографија и архивског материјала </t>
  </si>
  <si>
    <t>АНИТА ПАНИЋ: НЕДА АРНЕРИЋ /МОНОГРАФИЈА/</t>
  </si>
  <si>
    <t>ИЗДАВАШТВО - план и програм 2021.</t>
  </si>
  <si>
    <t>БРАНКО ВУЧИЋЕВИЋ: ЛЕПЕ УМЕТНОСТИ</t>
  </si>
  <si>
    <t>Обим страна: 500</t>
  </si>
  <si>
    <t>БРАНКО ВУЧИЋЕВИЋ:  ИНТЕРВЈУИ И РАЗГОВОРИ</t>
  </si>
  <si>
    <t>ДАРЈА БАЈИЋ: СТИМИЛАТИВНИ ИНСТРУМЕНТИ СТРАТЕГИЈЕ КУЛТУРНЕ ПОЛИТИКЕ У ОБЛАСТИ ФИЛМСКЕ ПРОИЗВОДЊЕ</t>
  </si>
  <si>
    <t>Лекутра-коректура</t>
  </si>
  <si>
    <t xml:space="preserve">Дизајн и трошкови прелома </t>
  </si>
  <si>
    <t>ДРАГАН ЈОВИЋЕВИЋ: ЖАНРОВИ У СРПСКОМ ИГРАНОМ ФИЛМУ</t>
  </si>
  <si>
    <t>Скенирање материјала</t>
  </si>
  <si>
    <t>Превод са албанског на српски језик</t>
  </si>
  <si>
    <t>Скенирање фотографија и материјала</t>
  </si>
  <si>
    <t>МУСЛИУ: БЕКИМ ФЕХМИУ- МОНОГРАФИЈА</t>
  </si>
  <si>
    <t>РАЗГОВОРИ: ТРИФО - ХИЧКОК</t>
  </si>
  <si>
    <t>ROBERT MCKEE: DIALOGUE</t>
  </si>
  <si>
    <t>Лектура - коректура</t>
  </si>
  <si>
    <t>Предговор</t>
  </si>
  <si>
    <t xml:space="preserve">Наменски буџет за  2021. годину </t>
  </si>
  <si>
    <t>ЕЛЕКТРОНСКЕ КЊИГЕ</t>
  </si>
  <si>
    <t>Фонд за дигитализацију ретких издања Института за филм</t>
  </si>
  <si>
    <t>БЕОГРАДСКИ МЕЂУНАРОДНИ САЈАМ КЊИГА 2021.</t>
  </si>
  <si>
    <t>ТОМИСЛАВ ГАВРИЋ: ПРИРОДА ФИЛМСКЕ КРИТИКЕ</t>
  </si>
  <si>
    <t>ДУЊА ЈЕЛЕНКОВИЋ: КРАТКИ ФИЛМ (РАДНИ НАСЛОВ)</t>
  </si>
  <si>
    <t>2.1.</t>
  </si>
  <si>
    <t>2.2.</t>
  </si>
  <si>
    <t>2.3.</t>
  </si>
  <si>
    <t>2.4.</t>
  </si>
  <si>
    <t>2.6.</t>
  </si>
  <si>
    <t>2.7.</t>
  </si>
  <si>
    <t>2.8.</t>
  </si>
  <si>
    <t>2.9.</t>
  </si>
  <si>
    <t>2.5.</t>
  </si>
  <si>
    <t>2.10.</t>
  </si>
  <si>
    <t>2.11.</t>
  </si>
  <si>
    <t>2.13.</t>
  </si>
  <si>
    <t>2.15.</t>
  </si>
  <si>
    <t>2.16.</t>
  </si>
  <si>
    <t>2.17.</t>
  </si>
  <si>
    <t>Гостовање специјалног предавача на фестивалу у Врњачкој бањи</t>
  </si>
  <si>
    <t>Путни трошкови предавача</t>
  </si>
  <si>
    <t>Трошкови смештаја 1 особа х 5 дана</t>
  </si>
  <si>
    <t>Транспорт у локалу</t>
  </si>
  <si>
    <t>Планирано је да један од предавача на фестивалу у Врњачкој бањи буде и познати професор и сценариста Кристофер Воглер</t>
  </si>
  <si>
    <t>3.1.</t>
  </si>
  <si>
    <t>3.2.</t>
  </si>
  <si>
    <t>3.3.</t>
  </si>
  <si>
    <t>3.4.</t>
  </si>
  <si>
    <t>3.5.</t>
  </si>
  <si>
    <t>3.6.</t>
  </si>
  <si>
    <t>3.7.</t>
  </si>
  <si>
    <t>3.8.</t>
  </si>
  <si>
    <t>3.9.</t>
  </si>
  <si>
    <t>3.11.</t>
  </si>
  <si>
    <t>3.12.</t>
  </si>
  <si>
    <t>3.13.</t>
  </si>
  <si>
    <t>3.14.</t>
  </si>
  <si>
    <t>3.15.</t>
  </si>
  <si>
    <t>3.16.</t>
  </si>
  <si>
    <t>3.17.</t>
  </si>
  <si>
    <t>4.1.</t>
  </si>
  <si>
    <t>4.2.</t>
  </si>
  <si>
    <t>4.3.</t>
  </si>
  <si>
    <t>4.4.</t>
  </si>
  <si>
    <t>4.5.</t>
  </si>
  <si>
    <t>4.6.</t>
  </si>
  <si>
    <t>4.7.</t>
  </si>
  <si>
    <t>4.8.</t>
  </si>
  <si>
    <t>4.9.</t>
  </si>
  <si>
    <t>5.1.</t>
  </si>
  <si>
    <t>5.2.</t>
  </si>
  <si>
    <t>5.3.</t>
  </si>
  <si>
    <t>5.4.</t>
  </si>
  <si>
    <t>5.5.</t>
  </si>
  <si>
    <t>5.6.</t>
  </si>
  <si>
    <t>5.7.</t>
  </si>
  <si>
    <t>5.8.</t>
  </si>
  <si>
    <t>5.9.</t>
  </si>
  <si>
    <t>5.10.</t>
  </si>
  <si>
    <t>5.13.</t>
  </si>
  <si>
    <t xml:space="preserve">Конференциjа намењена приказивачима и дистрибутерима. Има за циљ размену искустава домаћих приказивача и предавања релеватних европских стручњака о новим приступима развоjа биоскопске публике у Србиjи.
 </t>
  </si>
  <si>
    <t>Израда плана и програма три недеље радионица за занимање по секторима ( четири сектора друге године - камера, режија, продукција и специјални ефекти ) и предавачи</t>
  </si>
  <si>
    <t>Оперативни трошкови (хонорари чланова комисије и организација гласања)</t>
  </si>
  <si>
    <t>Материјали за саобраћај</t>
  </si>
  <si>
    <t>Аутомобил</t>
  </si>
  <si>
    <t>ДАН ДОМАЋЕГ ФИЛМА је програм посвећен промоцији домаћег документарног филмског стваралаштва у 30 градова. Подразумева пројекције филмова чију је производњу помогао Филмски центар Србије. Представљамо филмове који уобичајено нису на биоскопском репертоару, а који заслужују да буду виђени. После сваке пројекције публика ће бити у прилици да разговара са ауторима филма. Манифестација је планирана за последњу недељу октобра месеца.</t>
  </si>
  <si>
    <t>НОЋ СРПСКОГ ФИЛМА је програм посвећен промоцији домаћег филмског стваралаштва у 30 градова. Пројекције филмова чију је производњу помогао Филмски центар Србије.Трећа по реду jеднодневна манифестациjа Филмског центра Србиjе „Ноћ српског филма“ у партнерству са локалним биоскопима, продуцентима и дистрибутерима филмова, планирана је за 5. јун 2021(годишњица прве пројекције филма у Србији). Публика различитих старосних генерациjа има прилику да погледа наjгледаниjе дугометраже игране филмове из текуће године, али и неколико кратких играних филмова финансираних од стране ФЦС.</t>
  </si>
  <si>
    <t>EAVE jе водећи европски тренинг програм за продуценте, као и мрежа коjа обухвата преко 2300 продуцената и кључних доносиоца одлука у области кинематографиjе. EAVE ON DEMAND / Радионица филмског сценариjа подразумева учешће 12 продуцената из Србиjе коjи имаjу проjекат у развоjу. Продуценти би похађали радионицу заjедно са своjим сценаристима и учествовали би како на групним тако и на индивидуалним састанцима. У оквиру радионице био би организован велики отворени за jавност мастеркласу. Радионица би се одржала за време фестивала Филмског сценариjа у Врњачкоj бањи.</t>
  </si>
  <si>
    <t>Капитално одржавање зграда и објеката</t>
  </si>
  <si>
    <t>2.18.</t>
  </si>
  <si>
    <t>Помоћ у медицинском лечењу запосленог</t>
  </si>
  <si>
    <t>15 EUR x 4 дана  x 4 особe</t>
  </si>
  <si>
    <t>Чланство 20.000 - maybe more</t>
  </si>
  <si>
    <t>3.000 РСД * 3 особе * 1 оброк * 6 дана</t>
  </si>
  <si>
    <t>50.000 РСД.</t>
  </si>
  <si>
    <t>3.000 EUR.</t>
  </si>
  <si>
    <t>5.000 ЕУР.</t>
  </si>
  <si>
    <t>1.525.000 RSD.</t>
  </si>
  <si>
    <t>20.000 RSD.</t>
  </si>
  <si>
    <t>160.000 RSD.</t>
  </si>
  <si>
    <t>250 EUR.</t>
  </si>
  <si>
    <t>1.000 EUR.</t>
  </si>
  <si>
    <t>1.500 EUR.</t>
  </si>
  <si>
    <t>500 EUR.</t>
  </si>
  <si>
    <t>25.000 EUR.</t>
  </si>
  <si>
    <t>20.000 РСД.</t>
  </si>
  <si>
    <t>5.000 РСД.</t>
  </si>
  <si>
    <t>16.000 EUR.</t>
  </si>
  <si>
    <t>150 EUR.</t>
  </si>
  <si>
    <t>150.000 RSD.</t>
  </si>
  <si>
    <t>30.000 RSD.</t>
  </si>
  <si>
    <t>8.000 EUR.</t>
  </si>
  <si>
    <t xml:space="preserve">150.000 RSD. </t>
  </si>
  <si>
    <t>100.000 RSD.</t>
  </si>
  <si>
    <t>10.000 EUR.</t>
  </si>
  <si>
    <t>6.000 EUR.</t>
  </si>
  <si>
    <t>330 EUR.</t>
  </si>
  <si>
    <t>600 EUR.</t>
  </si>
  <si>
    <t>5.000 EUR.</t>
  </si>
  <si>
    <t>500  EUR.</t>
  </si>
  <si>
    <t>30.000 EUR.</t>
  </si>
  <si>
    <t>350 ЕUR.</t>
  </si>
  <si>
    <t>50.000 RSD.</t>
  </si>
  <si>
    <t>2.000 ЕУР.</t>
  </si>
  <si>
    <t>1.000 ЕУР.</t>
  </si>
  <si>
    <t>400 ЕУР.</t>
  </si>
  <si>
    <t>12 х 3 х 2000.</t>
  </si>
  <si>
    <t>190 EUR.</t>
  </si>
  <si>
    <t>400 EUR.</t>
  </si>
  <si>
    <t>1740 EUR .</t>
  </si>
  <si>
    <t>2940 EUR.</t>
  </si>
  <si>
    <t>4400 EUR.</t>
  </si>
  <si>
    <t>2200 EUR.</t>
  </si>
  <si>
    <t>3300 EUR.</t>
  </si>
  <si>
    <t>540 EUR.</t>
  </si>
  <si>
    <t>3500 EUR.</t>
  </si>
  <si>
    <t>2500 EUR.</t>
  </si>
  <si>
    <t>5000 EUR.</t>
  </si>
  <si>
    <t>360 EUR.</t>
  </si>
  <si>
    <t>1840 РСД.</t>
  </si>
  <si>
    <t>480 EUR.</t>
  </si>
  <si>
    <t>6.000 РСД * 12 особа * 3 ноћења</t>
  </si>
  <si>
    <t>49.400 РСД * 3 особе</t>
  </si>
  <si>
    <t>430 ЕUR x 3</t>
  </si>
  <si>
    <t>300 ЕUR x 3 особе</t>
  </si>
  <si>
    <t>800.000 РСД.</t>
  </si>
  <si>
    <t>30.000 RSD x 2 месеца</t>
  </si>
  <si>
    <t>30.000 RSD x 2 месеци</t>
  </si>
  <si>
    <t xml:space="preserve">Позивни конкурс - Развој пројеката адаптације домаћих књижевних дела </t>
  </si>
  <si>
    <t>700 EUR.</t>
  </si>
  <si>
    <t>800 EUR.</t>
  </si>
  <si>
    <t>12 гостију x 50 EUR x 1 ручак</t>
  </si>
  <si>
    <t>10.000 RSD x 2 месеца</t>
  </si>
  <si>
    <t>Сала српског филма</t>
  </si>
  <si>
    <t>1.800.0000 РСД</t>
  </si>
  <si>
    <t>4 х 400.000 РСД.</t>
  </si>
  <si>
    <t>200.000 RSD.</t>
  </si>
  <si>
    <t>833 EUR.</t>
  </si>
  <si>
    <t>3000 EUR.</t>
  </si>
  <si>
    <t>2000 EUR.</t>
  </si>
  <si>
    <t>1000 EUR.</t>
  </si>
  <si>
    <t>300 EUR.</t>
  </si>
  <si>
    <t>2500EUR.</t>
  </si>
  <si>
    <t>1000  EUR.</t>
  </si>
  <si>
    <t>1200 EUR.</t>
  </si>
  <si>
    <t>2.500EUR.</t>
  </si>
  <si>
    <t>350 EUR.</t>
  </si>
  <si>
    <t>1200EUR.</t>
  </si>
  <si>
    <t>2000EUR.</t>
  </si>
  <si>
    <t>1800 EUR.</t>
  </si>
  <si>
    <t>1600 EUR.</t>
  </si>
  <si>
    <t>25.000 RSD x 2 месеца</t>
  </si>
  <si>
    <t>1230 EUR.</t>
  </si>
  <si>
    <t>2  промотивни догађаја</t>
  </si>
  <si>
    <t>1.666 EUR.</t>
  </si>
  <si>
    <t>3000 ЕУР</t>
  </si>
  <si>
    <t>Штампа публикације</t>
  </si>
  <si>
    <t>550 ЕУР</t>
  </si>
  <si>
    <t>40.000RSD x 2 месецa</t>
  </si>
  <si>
    <t>48.000 RSD x 2 месецa</t>
  </si>
  <si>
    <t xml:space="preserve">93.000 RSD x 5 месеци </t>
  </si>
  <si>
    <t>2.600EUR.</t>
  </si>
  <si>
    <t>4500 ЕУР.</t>
  </si>
  <si>
    <t>TOТАЛ ТЕКУЋИ ТРОШКОВИ (РЕДОВНА ДЕЛАТНОСТ)</t>
  </si>
  <si>
    <t xml:space="preserve">ТОТАЛ ПРОГРАМИ И ИНВЕСТИЦИЈЕ </t>
  </si>
  <si>
    <t>ПРИКАЗ ПЛАНИРАНИХ РАСХОДА ФЦС У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</si>
</sst>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 &quot;RSD&quot;_);[Red]\(#,##0\ &quot;RSD&quot;\)"/>
  </numFmts>
  <fonts count="21"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name val="Arial Narrow"/>
      <family val="2"/>
    </font>
    <font>
      <b/>
      <sz val="12"/>
      <name val="Arial Narrow"/>
      <family val="2"/>
    </font>
    <font>
      <sz val="12"/>
      <color theme="1"/>
      <name val="Calibri"/>
      <family val="2"/>
      <scheme val="minor"/>
    </font>
    <font>
      <sz val="10"/>
      <name val="Arial"/>
      <family val="2"/>
    </font>
    <font>
      <b/>
      <sz val="14"/>
      <name val="Arial Narrow"/>
      <family val="2"/>
    </font>
    <font>
      <sz val="12"/>
      <color rgb="FF9C0006"/>
      <name val="Calibri"/>
      <family val="2"/>
      <scheme val="minor"/>
    </font>
    <font>
      <sz val="12"/>
      <name val="Calibri"/>
      <family val="2"/>
      <scheme val="minor"/>
    </font>
    <font>
      <b/>
      <sz val="13"/>
      <name val="Arial Narrow"/>
      <family val="2"/>
    </font>
    <font>
      <b/>
      <sz val="12"/>
      <color rgb="FFFF0000"/>
      <name val="Arial Narrow"/>
      <family val="2"/>
    </font>
    <font>
      <sz val="12"/>
      <color rgb="FFFF0000"/>
      <name val="Arial Narrow"/>
      <family val="2"/>
    </font>
    <font>
      <b/>
      <sz val="12"/>
      <color theme="1"/>
      <name val="Arial Narrow"/>
      <family val="2"/>
    </font>
    <font>
      <sz val="12"/>
      <color theme="1"/>
      <name val="Arial Narrow"/>
      <family val="2"/>
    </font>
    <font>
      <b/>
      <sz val="14"/>
      <color theme="1"/>
      <name val="Arial Narrow"/>
      <family val="2"/>
    </font>
    <font>
      <b/>
      <sz val="13"/>
      <color theme="1"/>
      <name val="Arial Narrow"/>
      <family val="2"/>
    </font>
    <font>
      <b/>
      <sz val="14"/>
      <color rgb="FFFF0000"/>
      <name val="Arial Narrow"/>
      <family val="2"/>
    </font>
    <font>
      <sz val="11"/>
      <name val="Arial Narrow"/>
      <family val="2"/>
    </font>
    <font>
      <b/>
      <sz val="11"/>
      <name val="Arial Narrow"/>
      <family val="2"/>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C7CE"/>
      </patternFill>
    </fill>
    <fill>
      <patternFill patternType="solid">
        <fgColor rgb="FFBFBFBF"/>
        <bgColor rgb="FF000000"/>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
    <border>
      <left/>
      <right/>
      <top/>
      <bottom/>
      <diagonal/>
    </border>
    <border>
      <left/>
      <right/>
      <top style="hair">
        <color auto="1"/>
      </top>
      <bottom style="hair">
        <color auto="1"/>
      </bottom>
      <diagonal/>
    </border>
    <border>
      <left style="hair">
        <color auto="1"/>
      </left>
      <right/>
      <top style="hair">
        <color auto="1"/>
      </top>
      <bottom style="hair">
        <color auto="1"/>
      </bottom>
      <diagonal/>
    </border>
  </borders>
  <cellStyleXfs count="94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43" fontId="6" fillId="0" borderId="0" applyFont="0" applyFill="0" applyBorder="0" applyAlignment="0" applyProtection="0"/>
    <xf numFmtId="0" fontId="7" fillId="0" borderId="0"/>
    <xf numFmtId="0" fontId="7" fillId="0" borderId="0"/>
    <xf numFmtId="0" fontId="9" fillId="5"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23">
    <xf numFmtId="0" fontId="0" fillId="0" borderId="0" xfId="0"/>
    <xf numFmtId="0" fontId="4" fillId="0" borderId="0" xfId="0" applyFont="1"/>
    <xf numFmtId="4" fontId="4" fillId="0" borderId="0" xfId="0" applyNumberFormat="1" applyFont="1"/>
    <xf numFmtId="0" fontId="5" fillId="0" borderId="0" xfId="0" applyFont="1"/>
    <xf numFmtId="0" fontId="4" fillId="0" borderId="0" xfId="0" applyFont="1" applyAlignment="1">
      <alignment wrapText="1"/>
    </xf>
    <xf numFmtId="0" fontId="4" fillId="0" borderId="0" xfId="0" applyFont="1" applyFill="1"/>
    <xf numFmtId="0" fontId="4" fillId="0" borderId="0" xfId="0" applyFont="1"/>
    <xf numFmtId="0" fontId="5" fillId="0" borderId="0" xfId="0" applyFont="1" applyFill="1"/>
    <xf numFmtId="0" fontId="4" fillId="0" borderId="0" xfId="0" applyFont="1"/>
    <xf numFmtId="0" fontId="4" fillId="0" borderId="0" xfId="0" applyFont="1"/>
    <xf numFmtId="0" fontId="4" fillId="0" borderId="0" xfId="0" applyFont="1"/>
    <xf numFmtId="0" fontId="4" fillId="7" borderId="0" xfId="0" applyFont="1" applyFill="1"/>
    <xf numFmtId="0" fontId="4" fillId="0" borderId="0" xfId="0" applyFont="1"/>
    <xf numFmtId="0" fontId="4" fillId="3" borderId="0" xfId="0" applyFont="1" applyFill="1"/>
    <xf numFmtId="0" fontId="4" fillId="0" borderId="0" xfId="0" applyFont="1"/>
    <xf numFmtId="0" fontId="4" fillId="0" borderId="0" xfId="0" applyFont="1"/>
    <xf numFmtId="0" fontId="4" fillId="0" borderId="0" xfId="0" applyFont="1"/>
    <xf numFmtId="0" fontId="4" fillId="0" borderId="0" xfId="0" applyFont="1"/>
    <xf numFmtId="0" fontId="4" fillId="0" borderId="0" xfId="0" applyFont="1"/>
    <xf numFmtId="0" fontId="4" fillId="0" borderId="0" xfId="0" applyFont="1"/>
    <xf numFmtId="0" fontId="4" fillId="0" borderId="0" xfId="0" applyFont="1"/>
    <xf numFmtId="4" fontId="4" fillId="0" borderId="1" xfId="0" applyNumberFormat="1" applyFont="1" applyBorder="1"/>
    <xf numFmtId="0" fontId="8" fillId="0" borderId="1" xfId="0" applyFont="1" applyBorder="1" applyAlignment="1"/>
    <xf numFmtId="0" fontId="5" fillId="0" borderId="1" xfId="0" applyFont="1" applyFill="1" applyBorder="1" applyAlignment="1"/>
    <xf numFmtId="4" fontId="4" fillId="0" borderId="1" xfId="0" applyNumberFormat="1" applyFont="1" applyFill="1" applyBorder="1" applyAlignment="1">
      <alignment horizontal="left"/>
    </xf>
    <xf numFmtId="4" fontId="4" fillId="0" borderId="1" xfId="0" applyNumberFormat="1" applyFont="1" applyFill="1" applyBorder="1" applyAlignment="1"/>
    <xf numFmtId="0" fontId="4" fillId="0" borderId="1" xfId="0" applyFont="1" applyFill="1" applyBorder="1" applyAlignment="1"/>
    <xf numFmtId="4" fontId="5" fillId="0" borderId="1" xfId="0" applyNumberFormat="1" applyFont="1" applyFill="1" applyBorder="1" applyAlignment="1">
      <alignment horizontal="right"/>
    </xf>
    <xf numFmtId="4" fontId="5" fillId="0" borderId="1" xfId="0" applyNumberFormat="1" applyFont="1" applyBorder="1" applyAlignment="1">
      <alignment horizontal="right"/>
    </xf>
    <xf numFmtId="0" fontId="5" fillId="0" borderId="1" xfId="0" applyFont="1" applyFill="1" applyBorder="1" applyAlignment="1">
      <alignment horizontal="left" vertical="center"/>
    </xf>
    <xf numFmtId="4" fontId="5" fillId="0" borderId="1" xfId="0" applyNumberFormat="1" applyFont="1" applyFill="1" applyBorder="1"/>
    <xf numFmtId="10" fontId="4" fillId="0" borderId="1" xfId="0" applyNumberFormat="1" applyFont="1" applyFill="1" applyBorder="1"/>
    <xf numFmtId="0" fontId="5" fillId="3" borderId="1" xfId="0" applyFont="1" applyFill="1" applyBorder="1" applyAlignment="1">
      <alignment horizontal="left" vertical="center"/>
    </xf>
    <xf numFmtId="4" fontId="5" fillId="3" borderId="1" xfId="0" applyNumberFormat="1" applyFont="1" applyFill="1" applyBorder="1"/>
    <xf numFmtId="4" fontId="4" fillId="3" borderId="1" xfId="0" applyNumberFormat="1" applyFont="1" applyFill="1" applyBorder="1"/>
    <xf numFmtId="0" fontId="8" fillId="0" borderId="1" xfId="0" applyFont="1" applyFill="1" applyBorder="1" applyAlignment="1">
      <alignment horizontal="right" vertical="center"/>
    </xf>
    <xf numFmtId="4" fontId="8" fillId="0" borderId="1" xfId="0" applyNumberFormat="1" applyFont="1" applyFill="1" applyBorder="1"/>
    <xf numFmtId="10" fontId="5" fillId="0" borderId="1" xfId="0" applyNumberFormat="1" applyFont="1" applyFill="1" applyBorder="1"/>
    <xf numFmtId="4" fontId="5" fillId="0" borderId="1" xfId="457" applyNumberFormat="1" applyFont="1" applyBorder="1"/>
    <xf numFmtId="0" fontId="5" fillId="0" borderId="1" xfId="0" applyFont="1" applyBorder="1"/>
    <xf numFmtId="0" fontId="4" fillId="0" borderId="1" xfId="0" applyFont="1" applyBorder="1" applyAlignment="1">
      <alignment wrapText="1"/>
    </xf>
    <xf numFmtId="0" fontId="4" fillId="0" borderId="1" xfId="0" applyFont="1" applyFill="1" applyBorder="1" applyAlignment="1">
      <alignment wrapText="1"/>
    </xf>
    <xf numFmtId="4" fontId="4" fillId="0" borderId="1" xfId="0" applyNumberFormat="1" applyFont="1" applyFill="1" applyBorder="1" applyAlignment="1">
      <alignment horizontal="right" vertical="center" wrapText="1"/>
    </xf>
    <xf numFmtId="4" fontId="4" fillId="0" borderId="1" xfId="0" applyNumberFormat="1" applyFont="1" applyFill="1" applyBorder="1"/>
    <xf numFmtId="4" fontId="4" fillId="0" borderId="1" xfId="0" applyNumberFormat="1" applyFont="1" applyBorder="1" applyAlignment="1">
      <alignment horizontal="right" vertical="center" wrapText="1"/>
    </xf>
    <xf numFmtId="3" fontId="4" fillId="0" borderId="1" xfId="0" applyNumberFormat="1" applyFont="1" applyBorder="1" applyAlignment="1">
      <alignment wrapText="1"/>
    </xf>
    <xf numFmtId="0" fontId="4" fillId="0" borderId="1" xfId="0" applyFont="1" applyBorder="1" applyAlignment="1">
      <alignment vertical="center" wrapText="1"/>
    </xf>
    <xf numFmtId="0" fontId="4" fillId="0" borderId="1" xfId="0" applyFont="1" applyFill="1" applyBorder="1"/>
    <xf numFmtId="0" fontId="5" fillId="0" borderId="1" xfId="0" applyFont="1" applyBorder="1" applyAlignment="1">
      <alignment horizontal="right" vertical="center"/>
    </xf>
    <xf numFmtId="4" fontId="5" fillId="0" borderId="1" xfId="0" applyNumberFormat="1" applyFont="1" applyBorder="1" applyAlignment="1">
      <alignment horizontal="right" vertical="center" wrapText="1"/>
    </xf>
    <xf numFmtId="0" fontId="5" fillId="2" borderId="1" xfId="0" applyFont="1" applyFill="1" applyBorder="1" applyAlignment="1">
      <alignment horizontal="right" vertical="center" wrapText="1"/>
    </xf>
    <xf numFmtId="0" fontId="5" fillId="2" borderId="1" xfId="0" applyFont="1" applyFill="1" applyBorder="1" applyAlignment="1">
      <alignment vertical="center" wrapText="1"/>
    </xf>
    <xf numFmtId="4" fontId="4" fillId="2" borderId="1" xfId="0" applyNumberFormat="1" applyFont="1" applyFill="1" applyBorder="1" applyAlignment="1">
      <alignment vertical="center"/>
    </xf>
    <xf numFmtId="4" fontId="5" fillId="2" borderId="1" xfId="0" applyNumberFormat="1" applyFont="1" applyFill="1" applyBorder="1" applyAlignment="1">
      <alignment vertical="center" wrapText="1"/>
    </xf>
    <xf numFmtId="0" fontId="5" fillId="4" borderId="1" xfId="0" applyFont="1" applyFill="1" applyBorder="1" applyAlignment="1">
      <alignment horizontal="right" wrapText="1"/>
    </xf>
    <xf numFmtId="4" fontId="4" fillId="4" borderId="1" xfId="0" applyNumberFormat="1" applyFont="1" applyFill="1" applyBorder="1"/>
    <xf numFmtId="4" fontId="5" fillId="4" borderId="1" xfId="0" applyNumberFormat="1" applyFont="1" applyFill="1" applyBorder="1" applyAlignment="1">
      <alignment wrapText="1"/>
    </xf>
    <xf numFmtId="0" fontId="5" fillId="0" borderId="1" xfId="0" applyFont="1" applyBorder="1" applyAlignment="1">
      <alignment wrapText="1"/>
    </xf>
    <xf numFmtId="4" fontId="4" fillId="0" borderId="1" xfId="0" applyNumberFormat="1" applyFont="1" applyBorder="1" applyAlignment="1">
      <alignment wrapText="1"/>
    </xf>
    <xf numFmtId="0" fontId="5" fillId="0" borderId="1" xfId="0" applyFont="1" applyBorder="1" applyAlignment="1">
      <alignment horizontal="right" vertical="center" wrapText="1"/>
    </xf>
    <xf numFmtId="4" fontId="4" fillId="2" borderId="1" xfId="0" applyNumberFormat="1" applyFont="1" applyFill="1" applyBorder="1" applyAlignment="1">
      <alignment vertical="center" wrapText="1"/>
    </xf>
    <xf numFmtId="4" fontId="4" fillId="0" borderId="1" xfId="0" applyNumberFormat="1" applyFont="1" applyFill="1" applyBorder="1" applyAlignment="1">
      <alignment wrapText="1"/>
    </xf>
    <xf numFmtId="0" fontId="5" fillId="0" borderId="1" xfId="0" applyFont="1" applyFill="1" applyBorder="1" applyAlignment="1">
      <alignment horizontal="right" vertical="center" wrapText="1"/>
    </xf>
    <xf numFmtId="4" fontId="5" fillId="0" borderId="1" xfId="0" applyNumberFormat="1" applyFont="1" applyFill="1" applyBorder="1" applyAlignment="1">
      <alignment horizontal="right" vertical="center" wrapText="1"/>
    </xf>
    <xf numFmtId="4" fontId="5" fillId="0" borderId="1" xfId="0" applyNumberFormat="1" applyFont="1" applyBorder="1" applyAlignment="1">
      <alignment wrapText="1"/>
    </xf>
    <xf numFmtId="3" fontId="5" fillId="0" borderId="1" xfId="0" applyNumberFormat="1" applyFont="1" applyBorder="1" applyAlignment="1">
      <alignment horizontal="right" vertical="center" wrapText="1"/>
    </xf>
    <xf numFmtId="0" fontId="4" fillId="7" borderId="1" xfId="0" applyFont="1" applyFill="1" applyBorder="1" applyAlignment="1">
      <alignment vertical="center" wrapText="1"/>
    </xf>
    <xf numFmtId="0" fontId="5" fillId="8" borderId="1" xfId="0" applyFont="1" applyFill="1" applyBorder="1" applyAlignment="1">
      <alignment vertical="center" wrapText="1"/>
    </xf>
    <xf numFmtId="0" fontId="4" fillId="8" borderId="1" xfId="0" applyFont="1" applyFill="1" applyBorder="1" applyAlignment="1">
      <alignment wrapText="1"/>
    </xf>
    <xf numFmtId="4" fontId="5" fillId="8" borderId="1" xfId="0" applyNumberFormat="1" applyFont="1" applyFill="1" applyBorder="1"/>
    <xf numFmtId="4" fontId="4" fillId="0" borderId="1" xfId="0" applyNumberFormat="1" applyFont="1" applyBorder="1" applyAlignment="1">
      <alignment vertical="center" wrapText="1"/>
    </xf>
    <xf numFmtId="4" fontId="4" fillId="0" borderId="1" xfId="0" applyNumberFormat="1" applyFont="1" applyFill="1" applyBorder="1" applyAlignment="1">
      <alignment vertical="center" wrapText="1"/>
    </xf>
    <xf numFmtId="4" fontId="5" fillId="0" borderId="1" xfId="0" applyNumberFormat="1" applyFont="1" applyFill="1" applyBorder="1" applyAlignment="1">
      <alignment vertical="center" wrapText="1"/>
    </xf>
    <xf numFmtId="0" fontId="5" fillId="0" borderId="1" xfId="0" applyFont="1" applyBorder="1" applyAlignment="1">
      <alignment horizontal="right" vertical="top" wrapText="1"/>
    </xf>
    <xf numFmtId="0" fontId="5" fillId="0" borderId="1" xfId="0" applyFont="1" applyFill="1" applyBorder="1" applyAlignment="1">
      <alignment horizontal="right" vertical="top" wrapText="1"/>
    </xf>
    <xf numFmtId="4" fontId="5" fillId="0" borderId="1" xfId="0" applyNumberFormat="1" applyFont="1" applyFill="1" applyBorder="1" applyAlignment="1">
      <alignment wrapText="1"/>
    </xf>
    <xf numFmtId="0" fontId="5" fillId="3" borderId="1" xfId="0" applyFont="1" applyFill="1" applyBorder="1" applyAlignment="1">
      <alignment horizontal="right" vertical="center" wrapText="1"/>
    </xf>
    <xf numFmtId="0" fontId="5" fillId="3" borderId="1" xfId="0" applyFont="1" applyFill="1" applyBorder="1" applyAlignment="1">
      <alignment vertical="center" wrapText="1"/>
    </xf>
    <xf numFmtId="4" fontId="4" fillId="3" borderId="1" xfId="0" applyNumberFormat="1" applyFont="1" applyFill="1" applyBorder="1" applyAlignment="1">
      <alignment vertical="center" wrapText="1"/>
    </xf>
    <xf numFmtId="4" fontId="5" fillId="3" borderId="1" xfId="0" applyNumberFormat="1" applyFont="1" applyFill="1" applyBorder="1" applyAlignment="1">
      <alignment vertical="top" wrapText="1"/>
    </xf>
    <xf numFmtId="0" fontId="5" fillId="0" borderId="1" xfId="0" applyFont="1" applyBorder="1" applyAlignment="1">
      <alignment horizontal="left" vertical="top" wrapText="1"/>
    </xf>
    <xf numFmtId="3" fontId="4" fillId="0" borderId="1" xfId="0" applyNumberFormat="1" applyFont="1" applyBorder="1" applyAlignment="1">
      <alignment horizontal="right" vertical="center" wrapText="1"/>
    </xf>
    <xf numFmtId="4" fontId="5" fillId="0" borderId="1" xfId="0" applyNumberFormat="1" applyFont="1" applyFill="1" applyBorder="1" applyAlignment="1">
      <alignment vertical="top" wrapText="1"/>
    </xf>
    <xf numFmtId="4" fontId="4" fillId="3" borderId="1" xfId="0" applyNumberFormat="1" applyFont="1" applyFill="1" applyBorder="1" applyAlignment="1">
      <alignment wrapText="1"/>
    </xf>
    <xf numFmtId="4" fontId="4" fillId="4" borderId="1" xfId="0" applyNumberFormat="1" applyFont="1" applyFill="1" applyBorder="1" applyAlignment="1">
      <alignment wrapText="1"/>
    </xf>
    <xf numFmtId="0" fontId="5" fillId="0" borderId="1" xfId="0" applyFont="1" applyFill="1" applyBorder="1" applyAlignment="1">
      <alignment wrapText="1"/>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7" borderId="1" xfId="0" applyFont="1" applyFill="1" applyBorder="1" applyAlignment="1">
      <alignment horizontal="left" vertical="top" wrapText="1"/>
    </xf>
    <xf numFmtId="0" fontId="5" fillId="7" borderId="1" xfId="0" applyFont="1" applyFill="1" applyBorder="1" applyAlignment="1">
      <alignment horizontal="center" vertical="top" wrapText="1"/>
    </xf>
    <xf numFmtId="0" fontId="4" fillId="7" borderId="1" xfId="0" applyFont="1" applyFill="1" applyBorder="1"/>
    <xf numFmtId="0" fontId="4" fillId="3" borderId="1" xfId="0" applyFont="1" applyFill="1" applyBorder="1"/>
    <xf numFmtId="3" fontId="5" fillId="0" borderId="1" xfId="0" applyNumberFormat="1" applyFont="1" applyFill="1" applyBorder="1" applyAlignment="1">
      <alignment horizontal="right" vertical="center" wrapText="1"/>
    </xf>
    <xf numFmtId="3" fontId="5" fillId="4" borderId="1" xfId="0" applyNumberFormat="1" applyFont="1" applyFill="1" applyBorder="1" applyAlignment="1">
      <alignment horizontal="right" vertical="center" wrapText="1"/>
    </xf>
    <xf numFmtId="4" fontId="4" fillId="4" borderId="1" xfId="0" applyNumberFormat="1" applyFont="1" applyFill="1" applyBorder="1" applyAlignment="1">
      <alignment horizontal="right" vertical="center" wrapText="1"/>
    </xf>
    <xf numFmtId="4" fontId="5" fillId="4" borderId="1" xfId="0" applyNumberFormat="1" applyFont="1" applyFill="1" applyBorder="1" applyAlignment="1">
      <alignment horizontal="right" vertical="center" wrapText="1"/>
    </xf>
    <xf numFmtId="4" fontId="4" fillId="7" borderId="1" xfId="0" applyNumberFormat="1" applyFont="1" applyFill="1" applyBorder="1" applyAlignment="1">
      <alignment wrapText="1"/>
    </xf>
    <xf numFmtId="0" fontId="4" fillId="0" borderId="1" xfId="0" applyFont="1" applyBorder="1"/>
    <xf numFmtId="0" fontId="5" fillId="0" borderId="1" xfId="0" applyFont="1" applyFill="1" applyBorder="1"/>
    <xf numFmtId="4" fontId="4" fillId="0" borderId="1" xfId="0" applyNumberFormat="1" applyFont="1" applyFill="1" applyBorder="1" applyAlignment="1">
      <alignment vertical="center"/>
    </xf>
    <xf numFmtId="0" fontId="5" fillId="7" borderId="1" xfId="0" applyFont="1" applyFill="1" applyBorder="1"/>
    <xf numFmtId="0" fontId="11" fillId="0" borderId="1" xfId="0" applyFont="1" applyFill="1" applyBorder="1" applyAlignment="1">
      <alignment wrapText="1"/>
    </xf>
    <xf numFmtId="0" fontId="14" fillId="0" borderId="1" xfId="0" applyFont="1" applyBorder="1"/>
    <xf numFmtId="0" fontId="15" fillId="0" borderId="1" xfId="0" applyFont="1" applyBorder="1" applyAlignment="1">
      <alignment wrapText="1"/>
    </xf>
    <xf numFmtId="0" fontId="15" fillId="0" borderId="1" xfId="0" applyFont="1" applyBorder="1"/>
    <xf numFmtId="3" fontId="14" fillId="0" borderId="1" xfId="458" applyNumberFormat="1" applyFont="1" applyFill="1" applyBorder="1" applyAlignment="1">
      <alignment horizontal="center" vertical="center"/>
    </xf>
    <xf numFmtId="3" fontId="14" fillId="0" borderId="1" xfId="458" applyNumberFormat="1" applyFont="1" applyFill="1" applyBorder="1" applyAlignment="1">
      <alignment horizontal="center" vertical="center" wrapText="1"/>
    </xf>
    <xf numFmtId="3" fontId="14" fillId="0" borderId="1" xfId="458" applyNumberFormat="1" applyFont="1" applyFill="1" applyBorder="1" applyAlignment="1">
      <alignment vertical="center" wrapText="1"/>
    </xf>
    <xf numFmtId="3" fontId="14" fillId="0" borderId="1" xfId="459" applyNumberFormat="1" applyFont="1" applyFill="1" applyBorder="1" applyAlignment="1">
      <alignment vertical="center"/>
    </xf>
    <xf numFmtId="0" fontId="15" fillId="0" borderId="1" xfId="458" applyFont="1" applyFill="1" applyBorder="1" applyAlignment="1">
      <alignment horizontal="left" vertical="center" wrapText="1"/>
    </xf>
    <xf numFmtId="4" fontId="15" fillId="0" borderId="1" xfId="459" applyNumberFormat="1" applyFont="1" applyFill="1" applyBorder="1" applyAlignment="1" applyProtection="1">
      <alignment vertical="center"/>
      <protection locked="0"/>
    </xf>
    <xf numFmtId="4" fontId="15" fillId="0" borderId="1" xfId="0" applyNumberFormat="1" applyFont="1" applyBorder="1"/>
    <xf numFmtId="4" fontId="14" fillId="0" borderId="1" xfId="459" applyNumberFormat="1" applyFont="1" applyFill="1" applyBorder="1" applyAlignment="1">
      <alignment vertical="center"/>
    </xf>
    <xf numFmtId="0" fontId="15" fillId="0" borderId="1" xfId="458" applyFont="1" applyFill="1" applyBorder="1" applyAlignment="1">
      <alignment vertical="center" wrapText="1"/>
    </xf>
    <xf numFmtId="0" fontId="14" fillId="0" borderId="1" xfId="458" applyFont="1" applyFill="1" applyBorder="1" applyAlignment="1">
      <alignment vertical="center"/>
    </xf>
    <xf numFmtId="0" fontId="15" fillId="0" borderId="1" xfId="458" applyFont="1" applyFill="1" applyBorder="1" applyAlignment="1">
      <alignment vertical="center"/>
    </xf>
    <xf numFmtId="4" fontId="14" fillId="0" borderId="1" xfId="459" applyNumberFormat="1" applyFont="1" applyFill="1" applyBorder="1" applyAlignment="1" applyProtection="1">
      <alignment vertical="center"/>
    </xf>
    <xf numFmtId="4" fontId="12" fillId="0" borderId="1" xfId="459" applyNumberFormat="1" applyFont="1" applyFill="1" applyBorder="1" applyAlignment="1" applyProtection="1">
      <alignment vertical="center"/>
    </xf>
    <xf numFmtId="4" fontId="13" fillId="0" borderId="1" xfId="0" applyNumberFormat="1" applyFont="1" applyBorder="1"/>
    <xf numFmtId="4" fontId="13" fillId="0" borderId="1" xfId="459" applyNumberFormat="1" applyFont="1" applyFill="1" applyBorder="1" applyAlignment="1" applyProtection="1">
      <alignment vertical="center"/>
      <protection locked="0"/>
    </xf>
    <xf numFmtId="4" fontId="12" fillId="0" borderId="1" xfId="0" applyNumberFormat="1" applyFont="1" applyBorder="1"/>
    <xf numFmtId="0" fontId="14" fillId="0" borderId="1" xfId="458" applyFont="1" applyFill="1" applyBorder="1" applyAlignment="1">
      <alignment vertical="center" wrapText="1"/>
    </xf>
    <xf numFmtId="0" fontId="15" fillId="3" borderId="1" xfId="458" applyFont="1" applyFill="1" applyBorder="1" applyAlignment="1">
      <alignment vertical="center" wrapText="1"/>
    </xf>
    <xf numFmtId="4" fontId="15" fillId="3" borderId="1" xfId="459" applyNumberFormat="1" applyFont="1" applyFill="1" applyBorder="1" applyAlignment="1" applyProtection="1">
      <alignment vertical="center"/>
      <protection locked="0"/>
    </xf>
    <xf numFmtId="4" fontId="15" fillId="3" borderId="1" xfId="0" applyNumberFormat="1" applyFont="1" applyFill="1" applyBorder="1"/>
    <xf numFmtId="0" fontId="17" fillId="0" borderId="1" xfId="0" applyFont="1" applyFill="1" applyBorder="1" applyAlignment="1">
      <alignment horizontal="right" vertical="center"/>
    </xf>
    <xf numFmtId="4" fontId="17" fillId="0" borderId="1" xfId="458" applyNumberFormat="1" applyFont="1" applyFill="1" applyBorder="1" applyAlignment="1">
      <alignment vertical="center"/>
    </xf>
    <xf numFmtId="0" fontId="11" fillId="0" borderId="1" xfId="0" applyFont="1" applyFill="1" applyBorder="1" applyAlignment="1">
      <alignment horizontal="right" vertical="center"/>
    </xf>
    <xf numFmtId="4" fontId="11" fillId="0" borderId="1" xfId="458" applyNumberFormat="1" applyFont="1" applyFill="1" applyBorder="1" applyAlignment="1">
      <alignment vertical="center"/>
    </xf>
    <xf numFmtId="0" fontId="4" fillId="0" borderId="1" xfId="0" applyFont="1" applyBorder="1" applyAlignment="1">
      <alignment horizontal="center" wrapText="1"/>
    </xf>
    <xf numFmtId="0" fontId="5" fillId="3" borderId="1" xfId="0" applyFont="1" applyFill="1" applyBorder="1"/>
    <xf numFmtId="4" fontId="15" fillId="0" borderId="1" xfId="459" applyNumberFormat="1" applyFont="1" applyFill="1" applyBorder="1" applyAlignment="1" applyProtection="1">
      <alignment vertical="center"/>
    </xf>
    <xf numFmtId="3" fontId="14" fillId="3" borderId="1" xfId="458" applyNumberFormat="1" applyFont="1" applyFill="1" applyBorder="1" applyAlignment="1">
      <alignment horizontal="left" vertical="center"/>
    </xf>
    <xf numFmtId="49" fontId="14" fillId="3" borderId="1" xfId="458" applyNumberFormat="1" applyFont="1" applyFill="1" applyBorder="1" applyAlignment="1">
      <alignment horizontal="center" vertical="center" wrapText="1"/>
    </xf>
    <xf numFmtId="0" fontId="15" fillId="3" borderId="1" xfId="0" applyFont="1" applyFill="1" applyBorder="1"/>
    <xf numFmtId="4" fontId="4" fillId="8" borderId="1" xfId="0" applyNumberFormat="1" applyFont="1" applyFill="1" applyBorder="1" applyAlignment="1">
      <alignment vertical="center" wrapText="1"/>
    </xf>
    <xf numFmtId="0" fontId="4" fillId="0" borderId="1" xfId="0" applyFont="1" applyBorder="1"/>
    <xf numFmtId="0" fontId="5" fillId="3" borderId="1" xfId="0" applyFont="1" applyFill="1" applyBorder="1" applyAlignment="1">
      <alignment wrapText="1"/>
    </xf>
    <xf numFmtId="0" fontId="4" fillId="0" borderId="1" xfId="0" applyFont="1" applyBorder="1"/>
    <xf numFmtId="0" fontId="18" fillId="0" borderId="1" xfId="0" applyFont="1" applyBorder="1" applyAlignment="1"/>
    <xf numFmtId="4" fontId="18" fillId="0" borderId="1" xfId="0" applyNumberFormat="1" applyFont="1" applyBorder="1" applyAlignment="1"/>
    <xf numFmtId="0" fontId="4" fillId="0" borderId="1" xfId="0" applyFont="1" applyBorder="1"/>
    <xf numFmtId="0" fontId="5" fillId="3" borderId="1" xfId="0" applyFont="1" applyFill="1" applyBorder="1" applyAlignment="1">
      <alignment horizontal="center" vertical="top" wrapText="1"/>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4" fillId="0" borderId="1" xfId="0" applyFont="1" applyBorder="1"/>
    <xf numFmtId="0" fontId="5" fillId="0" borderId="1" xfId="0" applyFont="1" applyBorder="1" applyAlignment="1">
      <alignment vertical="center"/>
    </xf>
    <xf numFmtId="0" fontId="4" fillId="3" borderId="1" xfId="0" applyFont="1" applyFill="1" applyBorder="1" applyAlignment="1">
      <alignment wrapText="1"/>
    </xf>
    <xf numFmtId="0" fontId="4" fillId="0" borderId="1" xfId="0" applyFont="1" applyBorder="1"/>
    <xf numFmtId="0" fontId="5" fillId="7" borderId="0" xfId="0" applyFont="1" applyFill="1"/>
    <xf numFmtId="4" fontId="4" fillId="7" borderId="0" xfId="0" applyNumberFormat="1" applyFont="1" applyFill="1"/>
    <xf numFmtId="0" fontId="5" fillId="9" borderId="1" xfId="0" applyFont="1" applyFill="1" applyBorder="1"/>
    <xf numFmtId="4" fontId="4" fillId="9" borderId="1" xfId="0" applyNumberFormat="1" applyFont="1" applyFill="1" applyBorder="1"/>
    <xf numFmtId="3" fontId="4" fillId="7" borderId="1" xfId="0" applyNumberFormat="1" applyFont="1" applyFill="1" applyBorder="1" applyAlignment="1">
      <alignment wrapText="1"/>
    </xf>
    <xf numFmtId="4" fontId="4" fillId="7" borderId="1" xfId="0" applyNumberFormat="1" applyFont="1" applyFill="1" applyBorder="1" applyAlignment="1">
      <alignment horizontal="right" vertical="center" wrapText="1"/>
    </xf>
    <xf numFmtId="4" fontId="4" fillId="7" borderId="1" xfId="0" applyNumberFormat="1" applyFont="1" applyFill="1" applyBorder="1" applyAlignment="1">
      <alignment vertical="center" wrapText="1"/>
    </xf>
    <xf numFmtId="0" fontId="4" fillId="7" borderId="1" xfId="0" applyFont="1" applyFill="1" applyBorder="1" applyAlignment="1">
      <alignment wrapText="1"/>
    </xf>
    <xf numFmtId="4" fontId="5" fillId="7" borderId="1" xfId="0" applyNumberFormat="1" applyFont="1" applyFill="1" applyBorder="1" applyAlignment="1">
      <alignment wrapText="1"/>
    </xf>
    <xf numFmtId="0" fontId="4" fillId="7" borderId="1" xfId="0" applyFont="1" applyFill="1" applyBorder="1" applyAlignment="1">
      <alignment horizontal="left" wrapText="1"/>
    </xf>
    <xf numFmtId="4" fontId="4" fillId="7" borderId="1" xfId="0" applyNumberFormat="1" applyFont="1" applyFill="1" applyBorder="1"/>
    <xf numFmtId="4" fontId="5" fillId="7" borderId="1" xfId="0" applyNumberFormat="1" applyFont="1" applyFill="1" applyBorder="1"/>
    <xf numFmtId="0" fontId="4" fillId="7" borderId="1" xfId="0" applyFont="1" applyFill="1" applyBorder="1" applyAlignment="1">
      <alignment horizontal="left" vertical="top" wrapText="1"/>
    </xf>
    <xf numFmtId="4" fontId="4" fillId="7" borderId="1" xfId="0" applyNumberFormat="1" applyFont="1" applyFill="1" applyBorder="1" applyAlignment="1">
      <alignment horizontal="right" vertical="top" wrapText="1"/>
    </xf>
    <xf numFmtId="0" fontId="4" fillId="7" borderId="1" xfId="0" applyFont="1" applyFill="1" applyBorder="1" applyAlignment="1">
      <alignment vertical="center"/>
    </xf>
    <xf numFmtId="0" fontId="19" fillId="9" borderId="0" xfId="0" applyFont="1" applyFill="1" applyBorder="1"/>
    <xf numFmtId="0" fontId="19" fillId="0" borderId="0" xfId="0" applyFont="1" applyBorder="1"/>
    <xf numFmtId="0" fontId="19" fillId="7" borderId="0" xfId="0" applyFont="1" applyFill="1" applyBorder="1"/>
    <xf numFmtId="0" fontId="19" fillId="0" borderId="0" xfId="0" applyFont="1"/>
    <xf numFmtId="0" fontId="20" fillId="0" borderId="0" xfId="0" applyFont="1" applyBorder="1"/>
    <xf numFmtId="4" fontId="4" fillId="7" borderId="1" xfId="460" applyNumberFormat="1" applyFont="1" applyFill="1" applyBorder="1" applyAlignment="1">
      <alignment horizontal="right" vertical="center" wrapText="1"/>
    </xf>
    <xf numFmtId="0" fontId="4" fillId="7" borderId="1" xfId="460" applyFont="1" applyFill="1" applyBorder="1" applyAlignment="1">
      <alignment vertical="center"/>
    </xf>
    <xf numFmtId="0" fontId="4" fillId="7" borderId="1" xfId="460" applyFont="1" applyFill="1" applyBorder="1" applyAlignment="1">
      <alignment vertical="center" wrapText="1"/>
    </xf>
    <xf numFmtId="4" fontId="14" fillId="7" borderId="1" xfId="459" applyNumberFormat="1" applyFont="1" applyFill="1" applyBorder="1" applyAlignment="1" applyProtection="1">
      <alignment vertical="center"/>
      <protection locked="0"/>
    </xf>
    <xf numFmtId="0" fontId="5" fillId="7" borderId="1" xfId="0" applyFont="1" applyFill="1" applyBorder="1" applyAlignment="1">
      <alignment horizontal="right" vertical="center" wrapText="1"/>
    </xf>
    <xf numFmtId="0" fontId="5" fillId="7" borderId="1" xfId="0" applyFont="1" applyFill="1" applyBorder="1" applyAlignment="1">
      <alignment vertical="center" wrapText="1"/>
    </xf>
    <xf numFmtId="4" fontId="5" fillId="7" borderId="1" xfId="0" applyNumberFormat="1" applyFont="1" applyFill="1" applyBorder="1" applyAlignment="1">
      <alignment vertical="center" wrapText="1"/>
    </xf>
    <xf numFmtId="0" fontId="5" fillId="7" borderId="1" xfId="0" applyFont="1" applyFill="1" applyBorder="1" applyAlignment="1">
      <alignment horizontal="left" vertical="center" wrapText="1"/>
    </xf>
    <xf numFmtId="4" fontId="5" fillId="7" borderId="1" xfId="0" applyNumberFormat="1" applyFont="1" applyFill="1" applyBorder="1" applyAlignment="1">
      <alignment horizontal="right" vertical="center" wrapText="1"/>
    </xf>
    <xf numFmtId="0" fontId="13" fillId="7" borderId="1" xfId="0" applyFont="1" applyFill="1" applyBorder="1" applyAlignment="1">
      <alignment vertical="center" wrapText="1"/>
    </xf>
    <xf numFmtId="3" fontId="4" fillId="7" borderId="1" xfId="0" applyNumberFormat="1" applyFont="1" applyFill="1" applyBorder="1" applyAlignment="1">
      <alignment vertical="center" wrapText="1"/>
    </xf>
    <xf numFmtId="0" fontId="19" fillId="7" borderId="0" xfId="0" applyFont="1" applyFill="1"/>
    <xf numFmtId="164" fontId="4" fillId="7" borderId="1" xfId="0" applyNumberFormat="1" applyFont="1" applyFill="1" applyBorder="1" applyAlignment="1">
      <alignment horizontal="left" wrapText="1"/>
    </xf>
    <xf numFmtId="164" fontId="4" fillId="7" borderId="1" xfId="0" applyNumberFormat="1" applyFont="1" applyFill="1" applyBorder="1" applyAlignment="1">
      <alignment horizontal="left" vertical="center" wrapText="1"/>
    </xf>
    <xf numFmtId="3" fontId="5" fillId="7" borderId="1" xfId="0" applyNumberFormat="1" applyFont="1" applyFill="1" applyBorder="1" applyAlignment="1">
      <alignment horizontal="right" vertical="center" wrapText="1"/>
    </xf>
    <xf numFmtId="0" fontId="4" fillId="7" borderId="1" xfId="0" applyFont="1" applyFill="1" applyBorder="1" applyAlignment="1">
      <alignment horizontal="left" vertical="center" wrapText="1"/>
    </xf>
    <xf numFmtId="3" fontId="4" fillId="7" borderId="1" xfId="0" applyNumberFormat="1" applyFont="1" applyFill="1" applyBorder="1" applyAlignment="1">
      <alignment horizontal="left" vertical="top" wrapText="1"/>
    </xf>
    <xf numFmtId="3" fontId="4" fillId="7" borderId="1" xfId="0" applyNumberFormat="1" applyFont="1" applyFill="1" applyBorder="1" applyAlignment="1">
      <alignment horizontal="left" wrapText="1"/>
    </xf>
    <xf numFmtId="4" fontId="4" fillId="7" borderId="1" xfId="0" quotePrefix="1" applyNumberFormat="1" applyFont="1" applyFill="1" applyBorder="1" applyAlignment="1">
      <alignment horizontal="right" vertical="center" wrapText="1"/>
    </xf>
    <xf numFmtId="0" fontId="4" fillId="0" borderId="1" xfId="0" applyFont="1" applyBorder="1"/>
    <xf numFmtId="0" fontId="5" fillId="7" borderId="2" xfId="458" applyFont="1" applyFill="1" applyBorder="1" applyAlignment="1">
      <alignment vertical="center" wrapText="1"/>
    </xf>
    <xf numFmtId="0" fontId="19" fillId="0" borderId="0" xfId="0" applyFont="1" applyFill="1" applyBorder="1"/>
    <xf numFmtId="0" fontId="5" fillId="0" borderId="1" xfId="0" applyFont="1" applyFill="1" applyBorder="1" applyAlignment="1">
      <alignment horizontal="right" vertical="center"/>
    </xf>
    <xf numFmtId="0" fontId="4" fillId="2"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3" borderId="1" xfId="0" applyFont="1" applyFill="1" applyBorder="1" applyAlignment="1">
      <alignment horizontal="center" wrapText="1"/>
    </xf>
    <xf numFmtId="0" fontId="4" fillId="0" borderId="1" xfId="0" applyFont="1" applyBorder="1" applyAlignment="1">
      <alignment horizontal="left" vertical="top"/>
    </xf>
    <xf numFmtId="0" fontId="4" fillId="3" borderId="1" xfId="0" applyFont="1" applyFill="1" applyBorder="1" applyAlignment="1">
      <alignment horizontal="left" vertical="top" wrapText="1"/>
    </xf>
    <xf numFmtId="0" fontId="10" fillId="0" borderId="1" xfId="0" applyFont="1" applyBorder="1" applyAlignment="1">
      <alignment horizontal="left" vertical="top" wrapText="1"/>
    </xf>
    <xf numFmtId="0" fontId="4" fillId="3" borderId="1" xfId="0" applyFont="1" applyFill="1" applyBorder="1" applyAlignment="1">
      <alignment vertical="top" wrapText="1"/>
    </xf>
    <xf numFmtId="0" fontId="4" fillId="2" borderId="1" xfId="0" applyFont="1" applyFill="1" applyBorder="1" applyAlignment="1">
      <alignment vertical="top" wrapText="1"/>
    </xf>
    <xf numFmtId="0" fontId="4" fillId="0" borderId="1" xfId="0" applyFont="1" applyBorder="1" applyAlignment="1">
      <alignment vertical="top" wrapText="1"/>
    </xf>
    <xf numFmtId="0" fontId="5" fillId="3" borderId="1" xfId="0" applyFont="1" applyFill="1" applyBorder="1" applyAlignment="1">
      <alignment horizontal="center" vertical="top" wrapText="1"/>
    </xf>
    <xf numFmtId="0" fontId="4" fillId="6" borderId="1" xfId="0" applyFont="1" applyFill="1" applyBorder="1" applyAlignment="1">
      <alignment horizontal="left" vertical="top" wrapText="1"/>
    </xf>
    <xf numFmtId="0" fontId="5" fillId="3" borderId="1" xfId="0" applyFont="1" applyFill="1" applyBorder="1" applyAlignment="1">
      <alignment horizontal="center" vertical="center" wrapText="1"/>
    </xf>
    <xf numFmtId="0" fontId="8" fillId="9" borderId="1" xfId="0" applyFont="1" applyFill="1" applyBorder="1" applyAlignment="1">
      <alignment horizontal="center"/>
    </xf>
    <xf numFmtId="0" fontId="16" fillId="0" borderId="1" xfId="0" applyFont="1" applyBorder="1" applyAlignment="1">
      <alignment horizontal="center"/>
    </xf>
    <xf numFmtId="0" fontId="4" fillId="2" borderId="1" xfId="0" applyFont="1" applyFill="1" applyBorder="1" applyAlignment="1">
      <alignment horizontal="left" vertical="center" wrapText="1"/>
    </xf>
    <xf numFmtId="0" fontId="4" fillId="0" borderId="1" xfId="0" applyFont="1" applyBorder="1" applyAlignment="1">
      <alignment vertical="center"/>
    </xf>
    <xf numFmtId="0" fontId="5" fillId="0" borderId="1" xfId="0" applyFont="1" applyBorder="1" applyAlignment="1">
      <alignment vertical="center" wrapText="1"/>
    </xf>
    <xf numFmtId="0" fontId="5" fillId="7" borderId="1" xfId="0" applyFont="1" applyFill="1" applyBorder="1" applyAlignment="1">
      <alignment vertical="center" wrapText="1"/>
    </xf>
    <xf numFmtId="0" fontId="4" fillId="3" borderId="1" xfId="0" applyFont="1" applyFill="1" applyBorder="1" applyAlignment="1">
      <alignment horizontal="left" vertical="top"/>
    </xf>
    <xf numFmtId="0" fontId="4" fillId="3" borderId="1" xfId="0" applyFont="1" applyFill="1" applyBorder="1" applyAlignment="1" applyProtection="1">
      <alignment vertical="top" wrapText="1"/>
      <protection locked="0"/>
    </xf>
    <xf numFmtId="0" fontId="5" fillId="3" borderId="1" xfId="0" applyFont="1" applyFill="1" applyBorder="1" applyAlignment="1">
      <alignment horizontal="left" vertical="top" wrapText="1"/>
    </xf>
    <xf numFmtId="0" fontId="4" fillId="3" borderId="1" xfId="0" applyFont="1" applyFill="1" applyBorder="1" applyAlignment="1">
      <alignment horizontal="left" vertical="center" wrapText="1"/>
    </xf>
    <xf numFmtId="0" fontId="4" fillId="0" borderId="1" xfId="0" applyFont="1" applyBorder="1" applyAlignment="1">
      <alignment vertical="top"/>
    </xf>
    <xf numFmtId="0" fontId="4" fillId="0" borderId="1" xfId="0" applyFont="1" applyBorder="1"/>
    <xf numFmtId="0" fontId="5" fillId="0" borderId="1" xfId="0" applyFont="1" applyBorder="1" applyAlignment="1">
      <alignment vertical="center"/>
    </xf>
    <xf numFmtId="0" fontId="4" fillId="3" borderId="1" xfId="0" applyFont="1" applyFill="1" applyBorder="1" applyAlignment="1">
      <alignment horizontal="center"/>
    </xf>
    <xf numFmtId="3" fontId="5" fillId="3" borderId="1" xfId="0" applyNumberFormat="1" applyFont="1" applyFill="1" applyBorder="1" applyAlignment="1">
      <alignment horizontal="center" vertical="center" wrapText="1"/>
    </xf>
    <xf numFmtId="0" fontId="4" fillId="3" borderId="1" xfId="0" applyFont="1" applyFill="1" applyBorder="1" applyAlignment="1">
      <alignment wrapText="1"/>
    </xf>
    <xf numFmtId="0" fontId="4" fillId="0" borderId="1" xfId="0" applyFont="1" applyFill="1" applyBorder="1" applyAlignment="1">
      <alignment vertical="top" wrapText="1"/>
    </xf>
    <xf numFmtId="0" fontId="4" fillId="0" borderId="1" xfId="0" applyFont="1" applyFill="1" applyBorder="1" applyAlignment="1">
      <alignment vertical="top"/>
    </xf>
    <xf numFmtId="0" fontId="5" fillId="3" borderId="1" xfId="0" applyFont="1" applyFill="1" applyBorder="1" applyAlignment="1">
      <alignment vertical="center"/>
    </xf>
  </cellXfs>
  <cellStyles count="946">
    <cellStyle name="Bad" xfId="460" builtinId="27"/>
    <cellStyle name="Comma" xfId="457"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Normal" xfId="0" builtinId="0"/>
    <cellStyle name="Normal_1" xfId="459" xr:uid="{00000000-0005-0000-0000-0000B0030000}"/>
    <cellStyle name="Normal_UNOS08ust" xfId="458" xr:uid="{00000000-0005-0000-0000-0000B103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579"/>
  <sheetViews>
    <sheetView tabSelected="1" zoomScale="130" zoomScaleNormal="130" zoomScaleSheetLayoutView="100" zoomScalePageLayoutView="130" workbookViewId="0">
      <selection activeCell="C1" sqref="C1:E1"/>
    </sheetView>
  </sheetViews>
  <sheetFormatPr baseColWidth="10" defaultColWidth="8.6640625" defaultRowHeight="16" x14ac:dyDescent="0.2"/>
  <cols>
    <col min="1" max="1" width="6" style="165" customWidth="1"/>
    <col min="2" max="2" width="4.5" style="3" customWidth="1"/>
    <col min="3" max="3" width="91.6640625" style="1" customWidth="1"/>
    <col min="4" max="4" width="36.1640625" style="4" customWidth="1"/>
    <col min="5" max="5" width="23.83203125" style="2" customWidth="1"/>
    <col min="6" max="6" width="23.1640625" style="2" customWidth="1"/>
    <col min="7" max="7" width="14.6640625" style="1" hidden="1" customWidth="1"/>
    <col min="8" max="8" width="9" style="1" hidden="1" customWidth="1"/>
    <col min="9" max="9" width="0.5" style="1" hidden="1" customWidth="1"/>
    <col min="10" max="11" width="9" style="1" hidden="1" customWidth="1"/>
    <col min="12" max="12" width="8.83203125" style="5" bestFit="1" customWidth="1"/>
    <col min="13" max="13" width="9.1640625" style="5" bestFit="1" customWidth="1"/>
    <col min="14" max="89" width="8.6640625" style="5"/>
    <col min="90" max="16384" width="8.6640625" style="1"/>
  </cols>
  <sheetData>
    <row r="1" spans="1:89" ht="18" x14ac:dyDescent="0.2">
      <c r="A1" s="164"/>
      <c r="B1" s="151"/>
      <c r="C1" s="204" t="s">
        <v>151</v>
      </c>
      <c r="D1" s="204"/>
      <c r="E1" s="204"/>
      <c r="F1" s="152"/>
      <c r="G1" s="97"/>
      <c r="H1" s="97"/>
      <c r="I1" s="97"/>
      <c r="J1" s="97"/>
      <c r="K1" s="97"/>
    </row>
    <row r="2" spans="1:89" ht="18" x14ac:dyDescent="0.2">
      <c r="B2" s="39"/>
      <c r="C2" s="22"/>
      <c r="D2" s="22"/>
      <c r="E2" s="22"/>
      <c r="F2" s="21"/>
      <c r="G2" s="97"/>
      <c r="H2" s="97"/>
      <c r="I2" s="97"/>
      <c r="J2" s="97"/>
      <c r="K2" s="97"/>
    </row>
    <row r="3" spans="1:89" ht="18" x14ac:dyDescent="0.2">
      <c r="B3" s="39"/>
      <c r="C3" s="205" t="s">
        <v>390</v>
      </c>
      <c r="D3" s="205"/>
      <c r="E3" s="205"/>
      <c r="F3" s="21"/>
      <c r="G3" s="97"/>
      <c r="H3" s="97"/>
      <c r="I3" s="97"/>
      <c r="J3" s="97"/>
      <c r="K3" s="97"/>
    </row>
    <row r="4" spans="1:89" ht="18" x14ac:dyDescent="0.2">
      <c r="B4" s="39"/>
      <c r="C4" s="22"/>
      <c r="D4" s="139"/>
      <c r="E4" s="140"/>
      <c r="F4" s="21"/>
      <c r="G4" s="97"/>
      <c r="H4" s="97"/>
      <c r="I4" s="97"/>
      <c r="J4" s="97"/>
      <c r="K4" s="97"/>
    </row>
    <row r="5" spans="1:89" s="12" customFormat="1" x14ac:dyDescent="0.2">
      <c r="A5" s="165"/>
      <c r="B5" s="39"/>
      <c r="C5" s="23" t="s">
        <v>400</v>
      </c>
      <c r="D5" s="24"/>
      <c r="E5" s="25"/>
      <c r="F5" s="21"/>
      <c r="G5" s="97"/>
      <c r="H5" s="97"/>
      <c r="I5" s="97"/>
      <c r="J5" s="97"/>
      <c r="K5" s="97"/>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row>
    <row r="6" spans="1:89" s="12" customFormat="1" x14ac:dyDescent="0.2">
      <c r="A6" s="165"/>
      <c r="B6" s="39"/>
      <c r="C6" s="26"/>
      <c r="D6" s="27" t="s">
        <v>164</v>
      </c>
      <c r="E6" s="28" t="s">
        <v>287</v>
      </c>
      <c r="F6" s="97"/>
      <c r="G6" s="97"/>
      <c r="H6" s="97"/>
      <c r="I6" s="97"/>
      <c r="J6" s="97"/>
      <c r="K6" s="97"/>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row>
    <row r="7" spans="1:89" s="12" customFormat="1" x14ac:dyDescent="0.2">
      <c r="A7" s="165"/>
      <c r="B7" s="39"/>
      <c r="C7" s="29" t="s">
        <v>145</v>
      </c>
      <c r="D7" s="30">
        <f>SUM(F42)</f>
        <v>963500000</v>
      </c>
      <c r="E7" s="31">
        <f>+D7/D15</f>
        <v>0.86195174143773734</v>
      </c>
      <c r="F7" s="97"/>
      <c r="G7" s="97"/>
      <c r="H7" s="97"/>
      <c r="I7" s="97"/>
      <c r="J7" s="97"/>
      <c r="K7" s="97"/>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row>
    <row r="8" spans="1:89" s="12" customFormat="1" x14ac:dyDescent="0.2">
      <c r="A8" s="165"/>
      <c r="B8" s="39"/>
      <c r="C8" s="29" t="s">
        <v>150</v>
      </c>
      <c r="D8" s="30">
        <f>SUM(F215)</f>
        <v>45978400</v>
      </c>
      <c r="E8" s="31">
        <f>+D8/D15</f>
        <v>4.1132498130275932E-2</v>
      </c>
      <c r="F8" s="21"/>
      <c r="G8" s="97"/>
      <c r="H8" s="97"/>
      <c r="I8" s="97"/>
      <c r="J8" s="97"/>
      <c r="K8" s="97"/>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row>
    <row r="9" spans="1:89" s="18" customFormat="1" x14ac:dyDescent="0.2">
      <c r="A9" s="165"/>
      <c r="B9" s="39"/>
      <c r="C9" s="29" t="s">
        <v>387</v>
      </c>
      <c r="D9" s="30">
        <f>F331</f>
        <v>26728800</v>
      </c>
      <c r="E9" s="31">
        <f>+D9/D15</f>
        <v>2.3911713239793454E-2</v>
      </c>
      <c r="F9" s="21"/>
      <c r="G9" s="97"/>
      <c r="H9" s="97"/>
      <c r="I9" s="97"/>
      <c r="J9" s="97"/>
      <c r="K9" s="97"/>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row>
    <row r="10" spans="1:89" s="12" customFormat="1" x14ac:dyDescent="0.2">
      <c r="A10" s="165"/>
      <c r="B10" s="39"/>
      <c r="C10" s="29" t="s">
        <v>154</v>
      </c>
      <c r="D10" s="30">
        <f>SUM(F399)</f>
        <v>3340800</v>
      </c>
      <c r="E10" s="31">
        <f>+D10/D15</f>
        <v>2.9886957735290012E-3</v>
      </c>
      <c r="F10" s="21"/>
      <c r="G10" s="97"/>
      <c r="H10" s="97"/>
      <c r="I10" s="97"/>
      <c r="J10" s="97"/>
      <c r="K10" s="97"/>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row>
    <row r="11" spans="1:89" s="12" customFormat="1" x14ac:dyDescent="0.2">
      <c r="A11" s="165"/>
      <c r="B11" s="39"/>
      <c r="C11" s="29" t="s">
        <v>146</v>
      </c>
      <c r="D11" s="30">
        <f>SUM(F501)</f>
        <v>9411000</v>
      </c>
      <c r="E11" s="31">
        <f>+D11/D15</f>
        <v>8.4191259353093365E-3</v>
      </c>
      <c r="F11" s="21"/>
      <c r="G11" s="97"/>
      <c r="H11" s="97"/>
      <c r="I11" s="97"/>
      <c r="J11" s="97"/>
      <c r="K11" s="97"/>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row>
    <row r="12" spans="1:89" s="12" customFormat="1" x14ac:dyDescent="0.2">
      <c r="A12" s="165"/>
      <c r="B12" s="39"/>
      <c r="C12" s="29" t="s">
        <v>147</v>
      </c>
      <c r="D12" s="30">
        <f>SUM(D559)</f>
        <v>54853000</v>
      </c>
      <c r="E12" s="31">
        <f>+D12/D15</f>
        <v>4.90717580416027E-2</v>
      </c>
      <c r="F12" s="21"/>
      <c r="G12" s="97"/>
      <c r="H12" s="97"/>
      <c r="I12" s="97"/>
      <c r="J12" s="97"/>
      <c r="K12" s="97"/>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row>
    <row r="13" spans="1:89" s="12" customFormat="1" x14ac:dyDescent="0.2">
      <c r="A13" s="165"/>
      <c r="B13" s="39"/>
      <c r="C13" s="29" t="s">
        <v>148</v>
      </c>
      <c r="D13" s="30">
        <f>SUM(F559)</f>
        <v>14000000</v>
      </c>
      <c r="E13" s="31">
        <f>+D13/D15</f>
        <v>1.252446744175228E-2</v>
      </c>
      <c r="F13" s="21"/>
      <c r="G13" s="97"/>
      <c r="H13" s="97"/>
      <c r="I13" s="97"/>
      <c r="J13" s="97"/>
      <c r="K13" s="97"/>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row>
    <row r="14" spans="1:89" s="12" customFormat="1" x14ac:dyDescent="0.2">
      <c r="A14" s="165"/>
      <c r="B14" s="50"/>
      <c r="C14" s="32"/>
      <c r="D14" s="33"/>
      <c r="E14" s="34"/>
      <c r="F14" s="34"/>
      <c r="G14" s="97"/>
      <c r="H14" s="97"/>
      <c r="I14" s="97"/>
      <c r="J14" s="97"/>
      <c r="K14" s="97"/>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row>
    <row r="15" spans="1:89" s="12" customFormat="1" ht="18" x14ac:dyDescent="0.2">
      <c r="A15" s="165"/>
      <c r="B15" s="39"/>
      <c r="C15" s="35" t="s">
        <v>163</v>
      </c>
      <c r="D15" s="36">
        <f>SUM(D7:D13)</f>
        <v>1117812000</v>
      </c>
      <c r="E15" s="37">
        <f>SUM(E7:E13)</f>
        <v>1</v>
      </c>
      <c r="F15" s="38"/>
      <c r="G15" s="97"/>
      <c r="H15" s="97"/>
      <c r="I15" s="97"/>
      <c r="J15" s="97"/>
      <c r="K15" s="97"/>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row>
    <row r="16" spans="1:89" ht="19.25" customHeight="1" x14ac:dyDescent="0.2">
      <c r="A16" s="168"/>
      <c r="B16" s="39">
        <v>1</v>
      </c>
      <c r="C16" s="39" t="s">
        <v>385</v>
      </c>
      <c r="D16" s="40"/>
      <c r="E16" s="21"/>
      <c r="F16" s="21"/>
      <c r="G16" s="97"/>
      <c r="H16" s="97"/>
      <c r="I16" s="97"/>
      <c r="J16" s="97"/>
      <c r="K16" s="97"/>
    </row>
    <row r="17" spans="1:89" ht="88.25" customHeight="1" x14ac:dyDescent="0.2">
      <c r="B17" s="50"/>
      <c r="C17" s="206" t="s">
        <v>384</v>
      </c>
      <c r="D17" s="207"/>
      <c r="E17" s="207"/>
      <c r="F17" s="207"/>
      <c r="G17" s="97"/>
      <c r="H17" s="97"/>
      <c r="I17" s="97"/>
      <c r="J17" s="97"/>
      <c r="K17" s="97"/>
    </row>
    <row r="18" spans="1:89" x14ac:dyDescent="0.2">
      <c r="A18" s="166"/>
      <c r="B18" s="100"/>
      <c r="C18" s="163" t="s">
        <v>86</v>
      </c>
      <c r="D18" s="156"/>
      <c r="E18" s="169">
        <v>240000000</v>
      </c>
      <c r="F18" s="159"/>
      <c r="G18" s="145"/>
      <c r="H18" s="145"/>
      <c r="I18" s="145"/>
      <c r="J18" s="145"/>
      <c r="K18" s="145"/>
    </row>
    <row r="19" spans="1:89" x14ac:dyDescent="0.2">
      <c r="A19" s="166"/>
      <c r="B19" s="100"/>
      <c r="C19" s="163" t="s">
        <v>256</v>
      </c>
      <c r="D19" s="156"/>
      <c r="E19" s="154">
        <v>54000000</v>
      </c>
      <c r="F19" s="159"/>
      <c r="G19" s="145"/>
      <c r="H19" s="145"/>
      <c r="I19" s="145"/>
      <c r="J19" s="145"/>
      <c r="K19" s="145"/>
    </row>
    <row r="20" spans="1:89" x14ac:dyDescent="0.2">
      <c r="A20" s="166"/>
      <c r="B20" s="100"/>
      <c r="C20" s="163" t="s">
        <v>207</v>
      </c>
      <c r="D20" s="156"/>
      <c r="E20" s="154">
        <v>60000000</v>
      </c>
      <c r="F20" s="159"/>
      <c r="G20" s="145"/>
      <c r="H20" s="145"/>
      <c r="I20" s="145"/>
      <c r="J20" s="145"/>
      <c r="K20" s="145"/>
    </row>
    <row r="21" spans="1:89" x14ac:dyDescent="0.2">
      <c r="A21" s="166"/>
      <c r="B21" s="100"/>
      <c r="C21" s="163" t="s">
        <v>206</v>
      </c>
      <c r="D21" s="156"/>
      <c r="E21" s="154">
        <v>50000000</v>
      </c>
      <c r="F21" s="159"/>
      <c r="G21" s="145"/>
      <c r="H21" s="145"/>
      <c r="I21" s="145"/>
      <c r="J21" s="145"/>
      <c r="K21" s="145"/>
    </row>
    <row r="22" spans="1:89" x14ac:dyDescent="0.2">
      <c r="A22" s="166"/>
      <c r="B22" s="100"/>
      <c r="C22" s="163" t="s">
        <v>87</v>
      </c>
      <c r="D22" s="156"/>
      <c r="E22" s="154">
        <v>60000000</v>
      </c>
      <c r="F22" s="159"/>
      <c r="G22" s="145"/>
      <c r="H22" s="145"/>
      <c r="I22" s="145"/>
      <c r="J22" s="145"/>
      <c r="K22" s="145"/>
    </row>
    <row r="23" spans="1:89" x14ac:dyDescent="0.2">
      <c r="A23" s="166"/>
      <c r="B23" s="100"/>
      <c r="C23" s="163" t="s">
        <v>88</v>
      </c>
      <c r="D23" s="156"/>
      <c r="E23" s="154">
        <v>84000000</v>
      </c>
      <c r="F23" s="159"/>
      <c r="G23" s="145"/>
      <c r="H23" s="145"/>
      <c r="I23" s="145"/>
      <c r="J23" s="145"/>
      <c r="K23" s="145"/>
    </row>
    <row r="24" spans="1:89" x14ac:dyDescent="0.2">
      <c r="A24" s="166"/>
      <c r="B24" s="100"/>
      <c r="C24" s="163" t="s">
        <v>158</v>
      </c>
      <c r="D24" s="153"/>
      <c r="E24" s="154">
        <v>55000000</v>
      </c>
      <c r="F24" s="159"/>
      <c r="G24" s="145"/>
      <c r="H24" s="145"/>
      <c r="I24" s="145"/>
      <c r="J24" s="145"/>
      <c r="K24" s="145"/>
    </row>
    <row r="25" spans="1:89" ht="17" x14ac:dyDescent="0.2">
      <c r="A25" s="166"/>
      <c r="B25" s="100"/>
      <c r="C25" s="66" t="s">
        <v>89</v>
      </c>
      <c r="D25" s="153"/>
      <c r="E25" s="169">
        <v>8000000</v>
      </c>
      <c r="F25" s="159"/>
      <c r="G25" s="145"/>
      <c r="H25" s="145"/>
      <c r="I25" s="145"/>
      <c r="J25" s="145"/>
      <c r="K25" s="145"/>
    </row>
    <row r="26" spans="1:89" s="17" customFormat="1" ht="17" x14ac:dyDescent="0.2">
      <c r="A26" s="166"/>
      <c r="B26" s="100"/>
      <c r="C26" s="66" t="s">
        <v>392</v>
      </c>
      <c r="D26" s="153"/>
      <c r="E26" s="169">
        <v>80000000</v>
      </c>
      <c r="F26" s="159"/>
      <c r="G26" s="145"/>
      <c r="H26" s="145"/>
      <c r="I26" s="145"/>
      <c r="J26" s="145"/>
      <c r="K26" s="14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row>
    <row r="27" spans="1:89" x14ac:dyDescent="0.2">
      <c r="A27" s="166"/>
      <c r="B27" s="100"/>
      <c r="C27" s="163" t="s">
        <v>383</v>
      </c>
      <c r="D27" s="153"/>
      <c r="E27" s="169">
        <v>60000000</v>
      </c>
      <c r="F27" s="159"/>
      <c r="G27" s="145"/>
      <c r="H27" s="145"/>
      <c r="I27" s="145"/>
      <c r="J27" s="145"/>
      <c r="K27" s="145"/>
    </row>
    <row r="28" spans="1:89" x14ac:dyDescent="0.2">
      <c r="A28" s="166"/>
      <c r="B28" s="100"/>
      <c r="C28" s="163" t="s">
        <v>258</v>
      </c>
      <c r="D28" s="153"/>
      <c r="E28" s="154">
        <v>14000000</v>
      </c>
      <c r="F28" s="159"/>
      <c r="G28" s="145"/>
      <c r="H28" s="145"/>
      <c r="I28" s="145"/>
      <c r="J28" s="145"/>
      <c r="K28" s="145"/>
    </row>
    <row r="29" spans="1:89" s="8" customFormat="1" x14ac:dyDescent="0.2">
      <c r="A29" s="166"/>
      <c r="B29" s="100"/>
      <c r="C29" s="163" t="s">
        <v>257</v>
      </c>
      <c r="D29" s="153"/>
      <c r="E29" s="154">
        <v>7000000</v>
      </c>
      <c r="F29" s="159"/>
      <c r="G29" s="145"/>
      <c r="H29" s="145"/>
      <c r="I29" s="145"/>
      <c r="J29" s="145"/>
      <c r="K29" s="14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row>
    <row r="30" spans="1:89" x14ac:dyDescent="0.2">
      <c r="A30" s="166"/>
      <c r="B30" s="100"/>
      <c r="C30" s="163" t="s">
        <v>159</v>
      </c>
      <c r="D30" s="153"/>
      <c r="E30" s="154">
        <v>12000000</v>
      </c>
      <c r="F30" s="159"/>
      <c r="G30" s="145"/>
      <c r="H30" s="145"/>
      <c r="I30" s="145"/>
      <c r="J30" s="145"/>
      <c r="K30" s="145"/>
    </row>
    <row r="31" spans="1:89" x14ac:dyDescent="0.2">
      <c r="A31" s="166"/>
      <c r="B31" s="100"/>
      <c r="C31" s="163" t="s">
        <v>160</v>
      </c>
      <c r="D31" s="153"/>
      <c r="E31" s="154">
        <v>12000000</v>
      </c>
      <c r="F31" s="159"/>
      <c r="G31" s="145"/>
      <c r="H31" s="145"/>
      <c r="I31" s="145"/>
      <c r="J31" s="145"/>
      <c r="K31" s="145"/>
    </row>
    <row r="32" spans="1:89" x14ac:dyDescent="0.2">
      <c r="A32" s="166"/>
      <c r="B32" s="100"/>
      <c r="C32" s="163" t="s">
        <v>161</v>
      </c>
      <c r="D32" s="153"/>
      <c r="E32" s="154">
        <v>11000000</v>
      </c>
      <c r="F32" s="159"/>
      <c r="G32" s="145"/>
      <c r="H32" s="145"/>
      <c r="I32" s="145"/>
      <c r="J32" s="145"/>
      <c r="K32" s="145"/>
    </row>
    <row r="33" spans="1:89" x14ac:dyDescent="0.2">
      <c r="A33" s="166"/>
      <c r="B33" s="100"/>
      <c r="C33" s="163" t="s">
        <v>204</v>
      </c>
      <c r="D33" s="153"/>
      <c r="E33" s="169">
        <v>8000000</v>
      </c>
      <c r="F33" s="159"/>
      <c r="G33" s="145"/>
      <c r="H33" s="145"/>
      <c r="I33" s="145"/>
      <c r="J33" s="145"/>
      <c r="K33" s="145"/>
    </row>
    <row r="34" spans="1:89" ht="35" customHeight="1" x14ac:dyDescent="0.2">
      <c r="A34" s="166"/>
      <c r="B34" s="100"/>
      <c r="C34" s="66" t="s">
        <v>251</v>
      </c>
      <c r="D34" s="153"/>
      <c r="E34" s="154">
        <v>7000000</v>
      </c>
      <c r="F34" s="159"/>
      <c r="G34" s="145"/>
      <c r="H34" s="145"/>
      <c r="I34" s="145"/>
      <c r="J34" s="145"/>
      <c r="K34" s="145"/>
    </row>
    <row r="35" spans="1:89" x14ac:dyDescent="0.2">
      <c r="A35" s="166"/>
      <c r="B35" s="100"/>
      <c r="C35" s="163" t="s">
        <v>90</v>
      </c>
      <c r="D35" s="153"/>
      <c r="E35" s="154">
        <v>35000000</v>
      </c>
      <c r="F35" s="159"/>
      <c r="G35" s="47"/>
      <c r="H35" s="47"/>
      <c r="I35" s="47"/>
      <c r="J35" s="47"/>
      <c r="K35" s="47"/>
    </row>
    <row r="36" spans="1:89" x14ac:dyDescent="0.2">
      <c r="A36" s="166"/>
      <c r="B36" s="100"/>
      <c r="C36" s="163" t="s">
        <v>91</v>
      </c>
      <c r="D36" s="153"/>
      <c r="E36" s="154">
        <v>80000000</v>
      </c>
      <c r="F36" s="159"/>
      <c r="G36" s="47"/>
      <c r="H36" s="47"/>
      <c r="I36" s="47"/>
      <c r="J36" s="47"/>
      <c r="K36" s="47"/>
    </row>
    <row r="37" spans="1:89" x14ac:dyDescent="0.2">
      <c r="A37" s="166"/>
      <c r="B37" s="100"/>
      <c r="C37" s="170" t="s">
        <v>156</v>
      </c>
      <c r="D37" s="153"/>
      <c r="E37" s="169">
        <v>8000000</v>
      </c>
      <c r="F37" s="159"/>
      <c r="G37" s="47"/>
      <c r="H37" s="47"/>
      <c r="I37" s="47"/>
      <c r="J37" s="47"/>
      <c r="K37" s="47"/>
    </row>
    <row r="38" spans="1:89" s="11" customFormat="1" x14ac:dyDescent="0.2">
      <c r="A38" s="166"/>
      <c r="B38" s="100"/>
      <c r="C38" s="170" t="s">
        <v>550</v>
      </c>
      <c r="D38" s="153"/>
      <c r="E38" s="169">
        <f>2200000+500000+400000+400000</f>
        <v>3500000</v>
      </c>
      <c r="F38" s="159"/>
      <c r="G38" s="47"/>
      <c r="H38" s="47"/>
      <c r="I38" s="47"/>
      <c r="J38" s="47"/>
      <c r="K38" s="47"/>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row>
    <row r="39" spans="1:89" ht="51" customHeight="1" x14ac:dyDescent="0.2">
      <c r="A39" s="166"/>
      <c r="B39" s="100"/>
      <c r="C39" s="171" t="s">
        <v>155</v>
      </c>
      <c r="D39" s="153"/>
      <c r="E39" s="154">
        <v>15000000</v>
      </c>
      <c r="F39" s="159"/>
      <c r="G39" s="47"/>
      <c r="H39" s="47"/>
      <c r="I39" s="47"/>
      <c r="J39" s="47"/>
      <c r="K39" s="47"/>
    </row>
    <row r="40" spans="1:89" x14ac:dyDescent="0.2">
      <c r="B40" s="39"/>
      <c r="C40" s="48" t="s">
        <v>0</v>
      </c>
      <c r="D40" s="40"/>
      <c r="E40" s="21"/>
      <c r="F40" s="49">
        <f>SUM(E18:E39)</f>
        <v>963500000</v>
      </c>
      <c r="G40" s="145"/>
      <c r="H40" s="145"/>
      <c r="I40" s="145"/>
      <c r="J40" s="145"/>
      <c r="K40" s="145"/>
    </row>
    <row r="41" spans="1:89" x14ac:dyDescent="0.2">
      <c r="B41" s="50"/>
      <c r="C41" s="50"/>
      <c r="D41" s="51"/>
      <c r="E41" s="52"/>
      <c r="F41" s="53"/>
      <c r="G41" s="145"/>
      <c r="H41" s="145"/>
      <c r="I41" s="145"/>
      <c r="J41" s="145"/>
      <c r="K41" s="145"/>
    </row>
    <row r="42" spans="1:89" ht="17" x14ac:dyDescent="0.2">
      <c r="B42" s="39"/>
      <c r="C42" s="145"/>
      <c r="D42" s="54" t="s">
        <v>149</v>
      </c>
      <c r="E42" s="55"/>
      <c r="F42" s="56">
        <f>+F40</f>
        <v>963500000</v>
      </c>
      <c r="G42" s="145"/>
      <c r="H42" s="145"/>
      <c r="I42" s="145"/>
      <c r="J42" s="145"/>
      <c r="K42" s="145"/>
    </row>
    <row r="43" spans="1:89" ht="17" x14ac:dyDescent="0.2">
      <c r="B43" s="39">
        <v>2</v>
      </c>
      <c r="C43" s="57" t="s">
        <v>376</v>
      </c>
      <c r="D43" s="40"/>
      <c r="E43" s="58"/>
      <c r="F43" s="58"/>
      <c r="G43" s="145"/>
      <c r="H43" s="145"/>
      <c r="I43" s="145"/>
      <c r="J43" s="145"/>
      <c r="K43" s="145"/>
    </row>
    <row r="44" spans="1:89" x14ac:dyDescent="0.2">
      <c r="B44" s="39"/>
      <c r="C44" s="57"/>
      <c r="D44" s="40"/>
      <c r="E44" s="58"/>
      <c r="F44" s="58"/>
      <c r="G44" s="145"/>
      <c r="H44" s="145"/>
      <c r="I44" s="145"/>
      <c r="J44" s="145"/>
      <c r="K44" s="145"/>
    </row>
    <row r="45" spans="1:89" ht="17" x14ac:dyDescent="0.2">
      <c r="B45" s="39" t="s">
        <v>426</v>
      </c>
      <c r="C45" s="143" t="s">
        <v>1</v>
      </c>
      <c r="D45" s="40"/>
      <c r="E45" s="58"/>
      <c r="F45" s="58"/>
      <c r="G45" s="145"/>
      <c r="H45" s="145"/>
      <c r="I45" s="145"/>
      <c r="J45" s="145"/>
      <c r="K45" s="145"/>
    </row>
    <row r="46" spans="1:89" ht="44" customHeight="1" x14ac:dyDescent="0.2">
      <c r="B46" s="50"/>
      <c r="C46" s="211" t="s">
        <v>293</v>
      </c>
      <c r="D46" s="211"/>
      <c r="E46" s="211"/>
      <c r="F46" s="198"/>
      <c r="G46" s="145"/>
      <c r="H46" s="145"/>
      <c r="I46" s="145"/>
      <c r="J46" s="145"/>
      <c r="K46" s="145"/>
    </row>
    <row r="47" spans="1:89" ht="17" x14ac:dyDescent="0.2">
      <c r="A47" s="166"/>
      <c r="B47" s="100"/>
      <c r="C47" s="66" t="s">
        <v>27</v>
      </c>
      <c r="D47" s="156"/>
      <c r="E47" s="154">
        <v>100000</v>
      </c>
      <c r="F47" s="96"/>
      <c r="G47" s="145"/>
      <c r="H47" s="145"/>
      <c r="I47" s="145"/>
      <c r="J47" s="145"/>
      <c r="K47" s="145"/>
    </row>
    <row r="48" spans="1:89" ht="17" x14ac:dyDescent="0.2">
      <c r="B48" s="39"/>
      <c r="C48" s="59" t="s">
        <v>0</v>
      </c>
      <c r="D48" s="40"/>
      <c r="E48" s="58"/>
      <c r="F48" s="49">
        <f>SUM(E47)</f>
        <v>100000</v>
      </c>
      <c r="G48" s="145"/>
      <c r="H48" s="145"/>
      <c r="I48" s="145"/>
      <c r="J48" s="145"/>
      <c r="K48" s="145"/>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row>
    <row r="49" spans="1:89" x14ac:dyDescent="0.2">
      <c r="B49" s="50"/>
      <c r="C49" s="50"/>
      <c r="D49" s="51"/>
      <c r="E49" s="60"/>
      <c r="F49" s="53"/>
      <c r="G49" s="145"/>
      <c r="H49" s="145"/>
      <c r="I49" s="145"/>
      <c r="J49" s="145"/>
      <c r="K49" s="145"/>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row>
    <row r="50" spans="1:89" x14ac:dyDescent="0.2">
      <c r="B50" s="39" t="s">
        <v>427</v>
      </c>
      <c r="C50" s="208" t="s">
        <v>205</v>
      </c>
      <c r="D50" s="208"/>
      <c r="E50" s="58"/>
      <c r="F50" s="58"/>
      <c r="G50" s="145"/>
      <c r="H50" s="145"/>
      <c r="I50" s="145"/>
      <c r="J50" s="145"/>
      <c r="K50" s="145"/>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row>
    <row r="51" spans="1:89" ht="269" customHeight="1" x14ac:dyDescent="0.2">
      <c r="B51" s="50"/>
      <c r="C51" s="198" t="s">
        <v>305</v>
      </c>
      <c r="D51" s="198"/>
      <c r="E51" s="198"/>
      <c r="F51" s="198"/>
      <c r="G51" s="145"/>
      <c r="H51" s="145"/>
      <c r="I51" s="145"/>
      <c r="J51" s="145"/>
      <c r="K51" s="145"/>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row>
    <row r="52" spans="1:89" ht="17" x14ac:dyDescent="0.2">
      <c r="A52" s="166"/>
      <c r="B52" s="90"/>
      <c r="C52" s="66" t="s">
        <v>22</v>
      </c>
      <c r="D52" s="156"/>
      <c r="E52" s="154">
        <v>6080000</v>
      </c>
      <c r="F52" s="96"/>
      <c r="G52" s="145"/>
      <c r="H52" s="145"/>
      <c r="I52" s="145"/>
      <c r="J52" s="145"/>
      <c r="K52" s="145"/>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row>
    <row r="53" spans="1:89" ht="17" x14ac:dyDescent="0.2">
      <c r="A53" s="166"/>
      <c r="B53" s="90"/>
      <c r="C53" s="66" t="s">
        <v>24</v>
      </c>
      <c r="D53" s="156"/>
      <c r="E53" s="154">
        <v>3048000</v>
      </c>
      <c r="F53" s="96"/>
      <c r="G53" s="145"/>
      <c r="H53" s="145"/>
      <c r="I53" s="145"/>
      <c r="J53" s="145"/>
      <c r="K53" s="145"/>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row>
    <row r="54" spans="1:89" ht="17" x14ac:dyDescent="0.2">
      <c r="A54" s="166"/>
      <c r="B54" s="90"/>
      <c r="C54" s="66" t="s">
        <v>23</v>
      </c>
      <c r="D54" s="156"/>
      <c r="E54" s="154">
        <f>3000000-682000</f>
        <v>2318000</v>
      </c>
      <c r="F54" s="96"/>
      <c r="G54" s="145"/>
      <c r="H54" s="145"/>
      <c r="I54" s="145"/>
      <c r="J54" s="145"/>
      <c r="K54" s="145"/>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row>
    <row r="55" spans="1:89" ht="17" x14ac:dyDescent="0.2">
      <c r="A55" s="166"/>
      <c r="B55" s="90"/>
      <c r="C55" s="66" t="s">
        <v>196</v>
      </c>
      <c r="D55" s="156"/>
      <c r="E55" s="154">
        <f>8520000+94000</f>
        <v>8614000</v>
      </c>
      <c r="F55" s="96"/>
      <c r="G55" s="145"/>
      <c r="H55" s="145"/>
      <c r="I55" s="145"/>
      <c r="J55" s="145"/>
      <c r="K55" s="145"/>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row>
    <row r="56" spans="1:89" ht="17" x14ac:dyDescent="0.2">
      <c r="A56" s="166"/>
      <c r="B56" s="90"/>
      <c r="C56" s="66" t="s">
        <v>28</v>
      </c>
      <c r="D56" s="153"/>
      <c r="E56" s="154">
        <v>1005000</v>
      </c>
      <c r="F56" s="96"/>
      <c r="G56" s="145"/>
      <c r="H56" s="145"/>
      <c r="I56" s="145"/>
      <c r="J56" s="145"/>
      <c r="K56" s="145"/>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row>
    <row r="57" spans="1:89" ht="17" x14ac:dyDescent="0.2">
      <c r="A57" s="166"/>
      <c r="B57" s="90"/>
      <c r="C57" s="66" t="s">
        <v>25</v>
      </c>
      <c r="D57" s="66" t="s">
        <v>170</v>
      </c>
      <c r="E57" s="154">
        <v>218000</v>
      </c>
      <c r="F57" s="96"/>
      <c r="G57" s="145"/>
      <c r="H57" s="145"/>
      <c r="I57" s="145"/>
      <c r="J57" s="145"/>
      <c r="K57" s="145"/>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row>
    <row r="58" spans="1:89" ht="17" x14ac:dyDescent="0.2">
      <c r="B58" s="39"/>
      <c r="C58" s="62" t="s">
        <v>0</v>
      </c>
      <c r="D58" s="41"/>
      <c r="E58" s="61"/>
      <c r="F58" s="63">
        <f>SUM(E52:E57)</f>
        <v>21283000</v>
      </c>
      <c r="G58" s="145"/>
      <c r="H58" s="145"/>
      <c r="I58" s="145"/>
      <c r="J58" s="145"/>
      <c r="K58" s="145"/>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row>
    <row r="59" spans="1:89" x14ac:dyDescent="0.2">
      <c r="B59" s="50"/>
      <c r="C59" s="50"/>
      <c r="D59" s="51"/>
      <c r="E59" s="60"/>
      <c r="F59" s="53"/>
      <c r="G59" s="145"/>
      <c r="H59" s="145"/>
      <c r="I59" s="145"/>
      <c r="J59" s="145"/>
      <c r="K59" s="145"/>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row>
    <row r="60" spans="1:89" ht="17" x14ac:dyDescent="0.2">
      <c r="B60" s="39" t="s">
        <v>428</v>
      </c>
      <c r="C60" s="143" t="s">
        <v>239</v>
      </c>
      <c r="D60" s="40"/>
      <c r="E60" s="58"/>
      <c r="F60" s="58"/>
      <c r="G60" s="145"/>
      <c r="H60" s="145"/>
      <c r="I60" s="145"/>
      <c r="J60" s="145"/>
      <c r="K60" s="145"/>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row>
    <row r="61" spans="1:89" ht="35" customHeight="1" x14ac:dyDescent="0.2">
      <c r="B61" s="50"/>
      <c r="C61" s="199" t="s">
        <v>281</v>
      </c>
      <c r="D61" s="199"/>
      <c r="E61" s="199"/>
      <c r="F61" s="200"/>
      <c r="G61" s="145"/>
      <c r="H61" s="145"/>
      <c r="I61" s="145"/>
      <c r="J61" s="145"/>
      <c r="K61" s="145"/>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row>
    <row r="62" spans="1:89" x14ac:dyDescent="0.2">
      <c r="B62" s="39"/>
      <c r="C62" s="208" t="s">
        <v>282</v>
      </c>
      <c r="D62" s="208"/>
      <c r="E62" s="61"/>
      <c r="F62" s="58"/>
      <c r="G62" s="145"/>
      <c r="H62" s="145"/>
      <c r="I62" s="145"/>
      <c r="J62" s="145"/>
      <c r="K62" s="145"/>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row>
    <row r="63" spans="1:89" s="11" customFormat="1" ht="17" x14ac:dyDescent="0.2">
      <c r="A63" s="166"/>
      <c r="B63" s="100"/>
      <c r="C63" s="66" t="s">
        <v>2</v>
      </c>
      <c r="D63" s="66" t="s">
        <v>210</v>
      </c>
      <c r="E63" s="154">
        <f>40000*2</f>
        <v>80000</v>
      </c>
      <c r="F63" s="96"/>
      <c r="G63" s="90"/>
      <c r="H63" s="90"/>
      <c r="I63" s="90"/>
      <c r="J63" s="90"/>
      <c r="K63" s="90"/>
    </row>
    <row r="64" spans="1:89" s="11" customFormat="1" x14ac:dyDescent="0.2">
      <c r="A64" s="166"/>
      <c r="B64" s="100"/>
      <c r="C64" s="209" t="s">
        <v>283</v>
      </c>
      <c r="D64" s="209"/>
      <c r="E64" s="96"/>
      <c r="F64" s="96"/>
      <c r="G64" s="90"/>
      <c r="H64" s="90"/>
      <c r="I64" s="90"/>
      <c r="J64" s="90"/>
      <c r="K64" s="90"/>
    </row>
    <row r="65" spans="1:89" s="11" customFormat="1" ht="17" x14ac:dyDescent="0.2">
      <c r="A65" s="166"/>
      <c r="B65" s="100"/>
      <c r="C65" s="66" t="s">
        <v>224</v>
      </c>
      <c r="D65" s="66" t="s">
        <v>502</v>
      </c>
      <c r="E65" s="96">
        <f>SUM(250*120)</f>
        <v>30000</v>
      </c>
      <c r="F65" s="96"/>
      <c r="G65" s="90"/>
      <c r="H65" s="90"/>
      <c r="I65" s="90"/>
      <c r="J65" s="90"/>
      <c r="K65" s="90"/>
    </row>
    <row r="66" spans="1:89" s="11" customFormat="1" ht="17" x14ac:dyDescent="0.2">
      <c r="A66" s="166"/>
      <c r="B66" s="100"/>
      <c r="C66" s="66" t="s">
        <v>25</v>
      </c>
      <c r="D66" s="66" t="s">
        <v>209</v>
      </c>
      <c r="E66" s="96">
        <v>7000</v>
      </c>
      <c r="F66" s="96"/>
      <c r="G66" s="90"/>
      <c r="H66" s="90"/>
      <c r="I66" s="90"/>
      <c r="J66" s="90"/>
      <c r="K66" s="90"/>
    </row>
    <row r="67" spans="1:89" s="11" customFormat="1" ht="17" x14ac:dyDescent="0.2">
      <c r="A67" s="166"/>
      <c r="B67" s="100"/>
      <c r="C67" s="66" t="s">
        <v>172</v>
      </c>
      <c r="D67" s="66" t="s">
        <v>519</v>
      </c>
      <c r="E67" s="154">
        <f>600*120</f>
        <v>72000</v>
      </c>
      <c r="F67" s="96"/>
      <c r="G67" s="90"/>
      <c r="H67" s="90"/>
      <c r="I67" s="90"/>
      <c r="J67" s="90"/>
      <c r="K67" s="90"/>
    </row>
    <row r="68" spans="1:89" s="11" customFormat="1" ht="17" x14ac:dyDescent="0.2">
      <c r="A68" s="166"/>
      <c r="B68" s="100"/>
      <c r="C68" s="174" t="s">
        <v>284</v>
      </c>
      <c r="D68" s="174"/>
      <c r="E68" s="96"/>
      <c r="F68" s="96"/>
      <c r="G68" s="90"/>
      <c r="H68" s="90"/>
      <c r="I68" s="90"/>
      <c r="J68" s="90"/>
      <c r="K68" s="90"/>
    </row>
    <row r="69" spans="1:89" s="11" customFormat="1" ht="17" x14ac:dyDescent="0.2">
      <c r="A69" s="166"/>
      <c r="B69" s="100"/>
      <c r="C69" s="66" t="s">
        <v>167</v>
      </c>
      <c r="D69" s="66" t="s">
        <v>168</v>
      </c>
      <c r="E69" s="96">
        <v>40000</v>
      </c>
      <c r="F69" s="96"/>
      <c r="G69" s="90"/>
      <c r="H69" s="90"/>
      <c r="I69" s="90"/>
      <c r="J69" s="90"/>
      <c r="K69" s="90"/>
    </row>
    <row r="70" spans="1:89" s="11" customFormat="1" ht="17" x14ac:dyDescent="0.2">
      <c r="A70" s="166"/>
      <c r="B70" s="100"/>
      <c r="C70" s="66" t="s">
        <v>25</v>
      </c>
      <c r="D70" s="66" t="s">
        <v>169</v>
      </c>
      <c r="E70" s="96">
        <v>18000</v>
      </c>
      <c r="F70" s="96"/>
      <c r="G70" s="90"/>
      <c r="H70" s="90"/>
      <c r="I70" s="90"/>
      <c r="J70" s="90"/>
      <c r="K70" s="90"/>
    </row>
    <row r="71" spans="1:89" s="11" customFormat="1" ht="15" customHeight="1" x14ac:dyDescent="0.2">
      <c r="A71" s="166"/>
      <c r="B71" s="100"/>
      <c r="C71" s="209" t="s">
        <v>306</v>
      </c>
      <c r="D71" s="209"/>
      <c r="E71" s="96"/>
      <c r="F71" s="96"/>
      <c r="G71" s="90"/>
      <c r="H71" s="90"/>
      <c r="I71" s="90"/>
      <c r="J71" s="90"/>
      <c r="K71" s="90"/>
    </row>
    <row r="72" spans="1:89" s="11" customFormat="1" ht="17" x14ac:dyDescent="0.2">
      <c r="A72" s="166"/>
      <c r="B72" s="100"/>
      <c r="C72" s="66" t="s">
        <v>295</v>
      </c>
      <c r="D72" s="66" t="s">
        <v>296</v>
      </c>
      <c r="E72" s="154">
        <v>240000</v>
      </c>
      <c r="F72" s="96"/>
      <c r="G72" s="90"/>
      <c r="H72" s="90"/>
      <c r="I72" s="90"/>
      <c r="J72" s="90"/>
      <c r="K72" s="90"/>
    </row>
    <row r="73" spans="1:89" s="11" customFormat="1" ht="17" x14ac:dyDescent="0.2">
      <c r="A73" s="166"/>
      <c r="B73" s="100"/>
      <c r="C73" s="66" t="s">
        <v>297</v>
      </c>
      <c r="D73" s="66" t="s">
        <v>298</v>
      </c>
      <c r="E73" s="154">
        <v>389000</v>
      </c>
      <c r="F73" s="96"/>
      <c r="G73" s="90"/>
      <c r="H73" s="90"/>
      <c r="I73" s="90"/>
      <c r="J73" s="90"/>
      <c r="K73" s="90"/>
    </row>
    <row r="74" spans="1:89" s="11" customFormat="1" ht="17" x14ac:dyDescent="0.2">
      <c r="A74" s="166"/>
      <c r="B74" s="100"/>
      <c r="C74" s="66" t="s">
        <v>25</v>
      </c>
      <c r="D74" s="66" t="s">
        <v>299</v>
      </c>
      <c r="E74" s="154">
        <v>16000</v>
      </c>
      <c r="F74" s="96"/>
      <c r="G74" s="90"/>
      <c r="H74" s="90"/>
      <c r="I74" s="90"/>
      <c r="J74" s="90"/>
      <c r="K74" s="90"/>
    </row>
    <row r="75" spans="1:89" s="11" customFormat="1" ht="17" x14ac:dyDescent="0.2">
      <c r="A75" s="166"/>
      <c r="B75" s="100"/>
      <c r="C75" s="66" t="s">
        <v>300</v>
      </c>
      <c r="D75" s="179" t="s">
        <v>503</v>
      </c>
      <c r="E75" s="154">
        <f>1000*120</f>
        <v>120000</v>
      </c>
      <c r="F75" s="96"/>
      <c r="G75" s="90"/>
      <c r="H75" s="90"/>
      <c r="I75" s="90"/>
      <c r="J75" s="90"/>
      <c r="K75" s="90"/>
    </row>
    <row r="76" spans="1:89" s="11" customFormat="1" ht="17" x14ac:dyDescent="0.2">
      <c r="A76" s="166"/>
      <c r="B76" s="100"/>
      <c r="C76" s="66" t="s">
        <v>301</v>
      </c>
      <c r="D76" s="66" t="s">
        <v>505</v>
      </c>
      <c r="E76" s="154">
        <f>SUM(500*120)</f>
        <v>60000</v>
      </c>
      <c r="F76" s="90"/>
      <c r="G76" s="90"/>
      <c r="H76" s="90"/>
      <c r="I76" s="90"/>
      <c r="J76" s="90"/>
      <c r="K76" s="90"/>
    </row>
    <row r="77" spans="1:89" s="19" customFormat="1" x14ac:dyDescent="0.2">
      <c r="A77" s="165"/>
      <c r="B77" s="39"/>
      <c r="C77" s="46"/>
      <c r="D77" s="46"/>
      <c r="E77" s="44"/>
      <c r="F77" s="49">
        <f>SUM(E63:E76)</f>
        <v>1072000</v>
      </c>
      <c r="G77" s="145"/>
      <c r="H77" s="145"/>
      <c r="I77" s="145"/>
      <c r="J77" s="145"/>
      <c r="K77" s="14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row>
    <row r="78" spans="1:89" s="20" customFormat="1" x14ac:dyDescent="0.2">
      <c r="A78" s="165"/>
      <c r="B78" s="50"/>
      <c r="C78" s="50"/>
      <c r="D78" s="51"/>
      <c r="E78" s="60"/>
      <c r="F78" s="53"/>
      <c r="G78" s="145"/>
      <c r="H78" s="145"/>
      <c r="I78" s="145"/>
      <c r="J78" s="145"/>
      <c r="K78" s="14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row>
    <row r="79" spans="1:89" s="20" customFormat="1" ht="17" customHeight="1" x14ac:dyDescent="0.2">
      <c r="A79" s="165"/>
      <c r="B79" s="39" t="s">
        <v>429</v>
      </c>
      <c r="C79" s="144" t="s">
        <v>317</v>
      </c>
      <c r="D79" s="41"/>
      <c r="E79" s="61"/>
      <c r="F79" s="61"/>
      <c r="G79" s="145"/>
      <c r="H79" s="145"/>
      <c r="I79" s="145"/>
      <c r="J79" s="145"/>
      <c r="K79" s="14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row>
    <row r="80" spans="1:89" s="20" customFormat="1" ht="56" customHeight="1" x14ac:dyDescent="0.2">
      <c r="A80" s="165"/>
      <c r="B80" s="50"/>
      <c r="C80" s="196" t="s">
        <v>338</v>
      </c>
      <c r="D80" s="196"/>
      <c r="E80" s="196"/>
      <c r="F80" s="196"/>
      <c r="G80" s="145"/>
      <c r="H80" s="145"/>
      <c r="I80" s="145"/>
      <c r="J80" s="145"/>
      <c r="K80" s="14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row>
    <row r="81" spans="1:89" s="20" customFormat="1" ht="17" customHeight="1" x14ac:dyDescent="0.2">
      <c r="A81" s="165"/>
      <c r="B81" s="39"/>
      <c r="C81" s="67" t="s">
        <v>318</v>
      </c>
      <c r="D81" s="68"/>
      <c r="E81" s="69">
        <f>SUM(E82:E86)</f>
        <v>1563000</v>
      </c>
      <c r="F81" s="135"/>
      <c r="G81" s="145"/>
      <c r="H81" s="145"/>
      <c r="I81" s="145"/>
      <c r="J81" s="145"/>
      <c r="K81" s="14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row>
    <row r="82" spans="1:89" s="11" customFormat="1" ht="17" customHeight="1" x14ac:dyDescent="0.2">
      <c r="A82" s="166"/>
      <c r="B82" s="100"/>
      <c r="C82" s="66" t="s">
        <v>319</v>
      </c>
      <c r="D82" s="66" t="s">
        <v>320</v>
      </c>
      <c r="E82" s="154">
        <f>SUM(14*40000)</f>
        <v>560000</v>
      </c>
      <c r="F82" s="155"/>
      <c r="G82" s="90"/>
      <c r="H82" s="90"/>
      <c r="I82" s="90"/>
      <c r="J82" s="90"/>
      <c r="K82" s="90"/>
    </row>
    <row r="83" spans="1:89" s="11" customFormat="1" ht="17" customHeight="1" x14ac:dyDescent="0.2">
      <c r="A83" s="166"/>
      <c r="B83" s="100"/>
      <c r="C83" s="66" t="s">
        <v>171</v>
      </c>
      <c r="D83" s="66" t="s">
        <v>321</v>
      </c>
      <c r="E83" s="154">
        <v>571000</v>
      </c>
      <c r="F83" s="155"/>
      <c r="G83" s="90"/>
      <c r="H83" s="90"/>
      <c r="I83" s="90"/>
      <c r="J83" s="90"/>
      <c r="K83" s="90"/>
    </row>
    <row r="84" spans="1:89" s="11" customFormat="1" ht="17" customHeight="1" x14ac:dyDescent="0.2">
      <c r="A84" s="166"/>
      <c r="B84" s="100"/>
      <c r="C84" s="66" t="s">
        <v>3</v>
      </c>
      <c r="D84" s="66" t="s">
        <v>553</v>
      </c>
      <c r="E84" s="154">
        <f>12*50*1*120</f>
        <v>72000</v>
      </c>
      <c r="F84" s="155"/>
      <c r="G84" s="90"/>
      <c r="H84" s="90"/>
      <c r="I84" s="90"/>
      <c r="J84" s="90"/>
      <c r="K84" s="90"/>
    </row>
    <row r="85" spans="1:89" s="11" customFormat="1" ht="17" customHeight="1" x14ac:dyDescent="0.2">
      <c r="A85" s="166"/>
      <c r="B85" s="100"/>
      <c r="C85" s="66" t="s">
        <v>322</v>
      </c>
      <c r="D85" s="66" t="s">
        <v>505</v>
      </c>
      <c r="E85" s="154">
        <f>SUM(500*120)</f>
        <v>60000</v>
      </c>
      <c r="F85" s="155"/>
      <c r="G85" s="90"/>
      <c r="H85" s="90"/>
      <c r="I85" s="90"/>
      <c r="J85" s="90"/>
      <c r="K85" s="90"/>
    </row>
    <row r="86" spans="1:89" s="11" customFormat="1" ht="17" customHeight="1" x14ac:dyDescent="0.2">
      <c r="A86" s="166"/>
      <c r="B86" s="100"/>
      <c r="C86" s="66" t="s">
        <v>364</v>
      </c>
      <c r="D86" s="66" t="s">
        <v>365</v>
      </c>
      <c r="E86" s="154">
        <f>SUM(60000*5)</f>
        <v>300000</v>
      </c>
      <c r="F86" s="155"/>
      <c r="G86" s="90"/>
      <c r="H86" s="90"/>
      <c r="I86" s="90"/>
      <c r="J86" s="90"/>
      <c r="K86" s="90"/>
    </row>
    <row r="87" spans="1:89" s="11" customFormat="1" ht="17" customHeight="1" x14ac:dyDescent="0.2">
      <c r="A87" s="166"/>
      <c r="B87" s="100"/>
      <c r="C87" s="174" t="s">
        <v>323</v>
      </c>
      <c r="D87" s="66"/>
      <c r="E87" s="177">
        <f>SUM(25000*120)</f>
        <v>3000000</v>
      </c>
      <c r="F87" s="155"/>
      <c r="G87" s="90"/>
      <c r="H87" s="90"/>
      <c r="I87" s="90"/>
      <c r="J87" s="90"/>
      <c r="K87" s="90"/>
    </row>
    <row r="88" spans="1:89" s="11" customFormat="1" ht="17" customHeight="1" x14ac:dyDescent="0.2">
      <c r="A88" s="180"/>
      <c r="B88" s="100"/>
      <c r="C88" s="66" t="s">
        <v>324</v>
      </c>
      <c r="D88" s="66" t="s">
        <v>506</v>
      </c>
      <c r="E88" s="90"/>
      <c r="F88" s="155"/>
      <c r="G88" s="90"/>
      <c r="H88" s="90"/>
      <c r="I88" s="90"/>
      <c r="J88" s="90"/>
      <c r="K88" s="90"/>
    </row>
    <row r="89" spans="1:89" s="11" customFormat="1" ht="17" customHeight="1" x14ac:dyDescent="0.2">
      <c r="A89" s="166"/>
      <c r="B89" s="100"/>
      <c r="C89" s="174" t="s">
        <v>393</v>
      </c>
      <c r="D89" s="66"/>
      <c r="E89" s="177">
        <f>SUM(E90:E94)</f>
        <v>706000</v>
      </c>
      <c r="F89" s="155"/>
      <c r="G89" s="90"/>
      <c r="H89" s="90"/>
      <c r="I89" s="90"/>
      <c r="J89" s="90"/>
      <c r="K89" s="90"/>
    </row>
    <row r="90" spans="1:89" s="11" customFormat="1" ht="17" customHeight="1" x14ac:dyDescent="0.2">
      <c r="A90" s="166"/>
      <c r="B90" s="100"/>
      <c r="C90" s="66" t="s">
        <v>334</v>
      </c>
      <c r="D90" s="66" t="s">
        <v>331</v>
      </c>
      <c r="E90" s="154">
        <v>80000</v>
      </c>
      <c r="F90" s="155"/>
      <c r="G90" s="90"/>
      <c r="H90" s="90"/>
      <c r="I90" s="90"/>
      <c r="J90" s="90"/>
      <c r="K90" s="90"/>
    </row>
    <row r="91" spans="1:89" s="11" customFormat="1" ht="17" customHeight="1" x14ac:dyDescent="0.2">
      <c r="A91" s="166"/>
      <c r="B91" s="100"/>
      <c r="C91" s="66" t="s">
        <v>24</v>
      </c>
      <c r="D91" s="66" t="s">
        <v>395</v>
      </c>
      <c r="E91" s="154">
        <f>SUM(60*2*5*120)</f>
        <v>72000</v>
      </c>
      <c r="F91" s="155"/>
      <c r="G91" s="90"/>
      <c r="H91" s="90"/>
      <c r="I91" s="90"/>
      <c r="J91" s="90"/>
      <c r="K91" s="90"/>
    </row>
    <row r="92" spans="1:89" s="11" customFormat="1" ht="17" customHeight="1" x14ac:dyDescent="0.2">
      <c r="A92" s="166"/>
      <c r="B92" s="100"/>
      <c r="C92" s="66" t="s">
        <v>72</v>
      </c>
      <c r="D92" s="66" t="s">
        <v>394</v>
      </c>
      <c r="E92" s="154">
        <f>SUM(2000*2*120)</f>
        <v>480000</v>
      </c>
      <c r="F92" s="155"/>
      <c r="G92" s="90"/>
      <c r="H92" s="90"/>
      <c r="I92" s="90"/>
      <c r="J92" s="90"/>
      <c r="K92" s="90"/>
    </row>
    <row r="93" spans="1:89" s="11" customFormat="1" ht="17" customHeight="1" x14ac:dyDescent="0.2">
      <c r="A93" s="166"/>
      <c r="B93" s="100"/>
      <c r="C93" s="66" t="s">
        <v>3</v>
      </c>
      <c r="D93" s="66" t="s">
        <v>495</v>
      </c>
      <c r="E93" s="154">
        <f>SUM(3000*3*6)</f>
        <v>54000</v>
      </c>
      <c r="F93" s="155"/>
      <c r="G93" s="90"/>
      <c r="H93" s="90"/>
      <c r="I93" s="90"/>
      <c r="J93" s="90"/>
      <c r="K93" s="90"/>
    </row>
    <row r="94" spans="1:89" s="11" customFormat="1" ht="17" customHeight="1" x14ac:dyDescent="0.2">
      <c r="A94" s="166"/>
      <c r="B94" s="100"/>
      <c r="C94" s="66" t="s">
        <v>325</v>
      </c>
      <c r="D94" s="66" t="s">
        <v>507</v>
      </c>
      <c r="E94" s="154">
        <v>20000</v>
      </c>
      <c r="F94" s="155"/>
      <c r="G94" s="90"/>
      <c r="H94" s="90"/>
      <c r="I94" s="90"/>
      <c r="J94" s="90"/>
      <c r="K94" s="90"/>
    </row>
    <row r="95" spans="1:89" s="11" customFormat="1" ht="17" customHeight="1" x14ac:dyDescent="0.2">
      <c r="A95" s="166"/>
      <c r="B95" s="156"/>
      <c r="C95" s="174" t="s">
        <v>396</v>
      </c>
      <c r="D95" s="66"/>
      <c r="E95" s="177">
        <f>SUM(E96:E103)</f>
        <v>648800</v>
      </c>
      <c r="F95" s="155"/>
      <c r="G95" s="90"/>
      <c r="H95" s="90"/>
      <c r="I95" s="90"/>
      <c r="J95" s="90"/>
      <c r="K95" s="90"/>
    </row>
    <row r="96" spans="1:89" s="11" customFormat="1" ht="17" customHeight="1" x14ac:dyDescent="0.2">
      <c r="A96" s="166"/>
      <c r="B96" s="100"/>
      <c r="C96" s="66" t="s">
        <v>334</v>
      </c>
      <c r="D96" s="66" t="s">
        <v>331</v>
      </c>
      <c r="E96" s="154">
        <f>SUM(40000*2)</f>
        <v>80000</v>
      </c>
      <c r="F96" s="155"/>
      <c r="G96" s="90"/>
      <c r="H96" s="90"/>
      <c r="I96" s="90"/>
      <c r="J96" s="90"/>
      <c r="K96" s="90"/>
    </row>
    <row r="97" spans="1:89" s="11" customFormat="1" ht="17" customHeight="1" x14ac:dyDescent="0.2">
      <c r="A97" s="166"/>
      <c r="B97" s="100"/>
      <c r="C97" s="66" t="s">
        <v>329</v>
      </c>
      <c r="D97" s="66" t="s">
        <v>330</v>
      </c>
      <c r="E97" s="154">
        <f>SUM(100*2*2*120)</f>
        <v>48000</v>
      </c>
      <c r="F97" s="155"/>
      <c r="G97" s="90"/>
      <c r="H97" s="90"/>
      <c r="I97" s="90"/>
      <c r="J97" s="90"/>
      <c r="K97" s="90"/>
    </row>
    <row r="98" spans="1:89" s="11" customFormat="1" ht="17" customHeight="1" x14ac:dyDescent="0.2">
      <c r="A98" s="166"/>
      <c r="B98" s="100"/>
      <c r="C98" s="66" t="s">
        <v>325</v>
      </c>
      <c r="D98" s="66" t="s">
        <v>508</v>
      </c>
      <c r="E98" s="154">
        <v>5000</v>
      </c>
      <c r="F98" s="155"/>
      <c r="G98" s="90"/>
      <c r="H98" s="90"/>
      <c r="I98" s="90"/>
      <c r="J98" s="90"/>
      <c r="K98" s="90"/>
    </row>
    <row r="99" spans="1:89" s="11" customFormat="1" ht="17" customHeight="1" x14ac:dyDescent="0.2">
      <c r="A99" s="166"/>
      <c r="B99" s="100"/>
      <c r="C99" s="66" t="s">
        <v>3</v>
      </c>
      <c r="D99" s="66" t="s">
        <v>333</v>
      </c>
      <c r="E99" s="154">
        <f>SUM(3000*2*3)</f>
        <v>18000</v>
      </c>
      <c r="F99" s="155"/>
      <c r="G99" s="90"/>
      <c r="H99" s="90"/>
      <c r="I99" s="90"/>
      <c r="J99" s="90"/>
      <c r="K99" s="90"/>
    </row>
    <row r="100" spans="1:89" s="20" customFormat="1" ht="17" customHeight="1" x14ac:dyDescent="0.2">
      <c r="A100" s="166"/>
      <c r="B100" s="100"/>
      <c r="C100" s="66" t="s">
        <v>366</v>
      </c>
      <c r="D100" s="66" t="s">
        <v>367</v>
      </c>
      <c r="E100" s="154">
        <f>SUM(1000*120)</f>
        <v>120000</v>
      </c>
      <c r="F100" s="155"/>
      <c r="G100" s="145"/>
      <c r="H100" s="145"/>
      <c r="I100" s="145"/>
      <c r="J100" s="145"/>
      <c r="K100" s="14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row>
    <row r="101" spans="1:89" s="11" customFormat="1" ht="17" customHeight="1" x14ac:dyDescent="0.2">
      <c r="A101" s="166"/>
      <c r="B101" s="100"/>
      <c r="C101" s="66" t="s">
        <v>368</v>
      </c>
      <c r="D101" s="66" t="s">
        <v>508</v>
      </c>
      <c r="E101" s="154">
        <v>5000</v>
      </c>
      <c r="F101" s="155"/>
      <c r="G101" s="90"/>
      <c r="H101" s="90"/>
      <c r="I101" s="90"/>
      <c r="J101" s="90"/>
      <c r="K101" s="90"/>
    </row>
    <row r="102" spans="1:89" s="11" customFormat="1" ht="17" customHeight="1" x14ac:dyDescent="0.2">
      <c r="A102" s="166"/>
      <c r="B102" s="100"/>
      <c r="C102" s="66" t="s">
        <v>335</v>
      </c>
      <c r="D102" s="66" t="s">
        <v>336</v>
      </c>
      <c r="E102" s="154">
        <f>SUM(50000*4)</f>
        <v>200000</v>
      </c>
      <c r="F102" s="155"/>
      <c r="G102" s="90"/>
      <c r="H102" s="90"/>
      <c r="I102" s="90"/>
      <c r="J102" s="90"/>
      <c r="K102" s="90"/>
    </row>
    <row r="103" spans="1:89" s="11" customFormat="1" ht="17" customHeight="1" x14ac:dyDescent="0.2">
      <c r="A103" s="166"/>
      <c r="B103" s="100"/>
      <c r="C103" s="66" t="s">
        <v>332</v>
      </c>
      <c r="D103" s="66" t="s">
        <v>337</v>
      </c>
      <c r="E103" s="154">
        <f>SUM(120*120*4*3)</f>
        <v>172800</v>
      </c>
      <c r="F103" s="155"/>
      <c r="G103" s="90"/>
      <c r="H103" s="90"/>
      <c r="I103" s="90"/>
      <c r="J103" s="90"/>
      <c r="K103" s="90"/>
    </row>
    <row r="104" spans="1:89" s="20" customFormat="1" ht="17" customHeight="1" x14ac:dyDescent="0.2">
      <c r="A104" s="165"/>
      <c r="B104" s="39"/>
      <c r="C104" s="62" t="s">
        <v>0</v>
      </c>
      <c r="D104" s="41"/>
      <c r="E104" s="61"/>
      <c r="F104" s="63">
        <f>E95+E89+E87+E81</f>
        <v>5917800</v>
      </c>
      <c r="G104" s="145"/>
      <c r="H104" s="145"/>
      <c r="I104" s="145"/>
      <c r="J104" s="145"/>
      <c r="K104" s="14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row>
    <row r="105" spans="1:89" s="20" customFormat="1" x14ac:dyDescent="0.2">
      <c r="A105" s="165"/>
      <c r="B105" s="147"/>
      <c r="C105" s="50"/>
      <c r="D105" s="51"/>
      <c r="E105" s="60"/>
      <c r="F105" s="53"/>
      <c r="G105" s="145"/>
      <c r="H105" s="145"/>
      <c r="I105" s="145"/>
      <c r="J105" s="145"/>
      <c r="K105" s="14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row>
    <row r="106" spans="1:89" ht="17" x14ac:dyDescent="0.2">
      <c r="B106" s="39" t="s">
        <v>434</v>
      </c>
      <c r="C106" s="143" t="s">
        <v>34</v>
      </c>
      <c r="D106" s="40"/>
      <c r="E106" s="58"/>
      <c r="F106" s="58"/>
      <c r="G106" s="145"/>
      <c r="H106" s="145"/>
      <c r="I106" s="145"/>
      <c r="J106" s="145"/>
      <c r="K106" s="145"/>
    </row>
    <row r="107" spans="1:89" ht="44.25" customHeight="1" x14ac:dyDescent="0.2">
      <c r="B107" s="147"/>
      <c r="C107" s="199" t="s">
        <v>211</v>
      </c>
      <c r="D107" s="199"/>
      <c r="E107" s="199"/>
      <c r="F107" s="200"/>
      <c r="G107" s="145"/>
      <c r="H107" s="145"/>
      <c r="I107" s="145"/>
      <c r="J107" s="145"/>
      <c r="K107" s="145"/>
    </row>
    <row r="108" spans="1:89" s="11" customFormat="1" ht="17" x14ac:dyDescent="0.2">
      <c r="A108" s="166"/>
      <c r="B108" s="100"/>
      <c r="C108" s="66" t="s">
        <v>280</v>
      </c>
      <c r="D108" s="66" t="s">
        <v>509</v>
      </c>
      <c r="E108" s="154">
        <f>16000*120</f>
        <v>1920000</v>
      </c>
      <c r="F108" s="96"/>
      <c r="G108" s="90"/>
      <c r="H108" s="90"/>
      <c r="I108" s="90"/>
      <c r="J108" s="90"/>
      <c r="K108" s="90"/>
    </row>
    <row r="109" spans="1:89" s="11" customFormat="1" ht="17" x14ac:dyDescent="0.2">
      <c r="A109" s="166"/>
      <c r="B109" s="100"/>
      <c r="C109" s="66" t="s">
        <v>4</v>
      </c>
      <c r="D109" s="66" t="s">
        <v>510</v>
      </c>
      <c r="E109" s="154">
        <f>SUM(150*120)</f>
        <v>18000</v>
      </c>
      <c r="F109" s="96"/>
      <c r="G109" s="90"/>
      <c r="H109" s="90"/>
      <c r="I109" s="90"/>
      <c r="J109" s="90"/>
      <c r="K109" s="90"/>
    </row>
    <row r="110" spans="1:89" s="11" customFormat="1" ht="17" x14ac:dyDescent="0.2">
      <c r="A110" s="166"/>
      <c r="B110" s="100"/>
      <c r="C110" s="156" t="s">
        <v>30</v>
      </c>
      <c r="D110" s="181" t="s">
        <v>511</v>
      </c>
      <c r="E110" s="96">
        <v>150000</v>
      </c>
      <c r="F110" s="96"/>
      <c r="G110" s="90"/>
      <c r="H110" s="90"/>
      <c r="I110" s="90"/>
      <c r="J110" s="90"/>
      <c r="K110" s="90"/>
    </row>
    <row r="111" spans="1:89" s="11" customFormat="1" ht="17" x14ac:dyDescent="0.2">
      <c r="A111" s="166"/>
      <c r="B111" s="100"/>
      <c r="C111" s="66" t="s">
        <v>13</v>
      </c>
      <c r="D111" s="182" t="s">
        <v>558</v>
      </c>
      <c r="E111" s="154">
        <v>200000</v>
      </c>
      <c r="F111" s="96"/>
      <c r="G111" s="90"/>
      <c r="H111" s="90"/>
      <c r="I111" s="90"/>
      <c r="J111" s="90"/>
      <c r="K111" s="90"/>
    </row>
    <row r="112" spans="1:89" s="11" customFormat="1" ht="17" x14ac:dyDescent="0.2">
      <c r="A112" s="166"/>
      <c r="B112" s="100"/>
      <c r="C112" s="66" t="s">
        <v>5</v>
      </c>
      <c r="D112" s="66" t="s">
        <v>515</v>
      </c>
      <c r="E112" s="154">
        <v>100000</v>
      </c>
      <c r="F112" s="96"/>
      <c r="G112" s="90"/>
      <c r="H112" s="90"/>
      <c r="I112" s="90"/>
      <c r="J112" s="90"/>
      <c r="K112" s="90"/>
    </row>
    <row r="113" spans="1:11" s="11" customFormat="1" ht="17" x14ac:dyDescent="0.2">
      <c r="A113" s="166"/>
      <c r="B113" s="100"/>
      <c r="C113" s="66" t="s">
        <v>14</v>
      </c>
      <c r="D113" s="66" t="s">
        <v>512</v>
      </c>
      <c r="E113" s="154">
        <v>30000</v>
      </c>
      <c r="F113" s="96"/>
      <c r="G113" s="90"/>
      <c r="H113" s="90"/>
      <c r="I113" s="90"/>
      <c r="J113" s="90"/>
      <c r="K113" s="90"/>
    </row>
    <row r="114" spans="1:11" s="11" customFormat="1" ht="17" x14ac:dyDescent="0.2">
      <c r="A114" s="166"/>
      <c r="B114" s="100"/>
      <c r="C114" s="66" t="s">
        <v>6</v>
      </c>
      <c r="D114" s="66" t="s">
        <v>309</v>
      </c>
      <c r="E114" s="154">
        <f>SUM(15*10*4*120)</f>
        <v>72000</v>
      </c>
      <c r="F114" s="96"/>
      <c r="G114" s="90"/>
      <c r="H114" s="90"/>
      <c r="I114" s="90"/>
      <c r="J114" s="90"/>
      <c r="K114" s="90"/>
    </row>
    <row r="115" spans="1:11" s="11" customFormat="1" ht="17" x14ac:dyDescent="0.2">
      <c r="A115" s="166"/>
      <c r="B115" s="100"/>
      <c r="C115" s="66" t="s">
        <v>7</v>
      </c>
      <c r="D115" s="66" t="s">
        <v>513</v>
      </c>
      <c r="E115" s="154">
        <f>SUM(8000*120)</f>
        <v>960000</v>
      </c>
      <c r="F115" s="96"/>
      <c r="G115" s="90"/>
      <c r="H115" s="90"/>
      <c r="I115" s="90"/>
      <c r="J115" s="90"/>
      <c r="K115" s="90"/>
    </row>
    <row r="116" spans="1:11" s="11" customFormat="1" ht="17" x14ac:dyDescent="0.2">
      <c r="A116" s="166"/>
      <c r="B116" s="100"/>
      <c r="C116" s="66" t="s">
        <v>307</v>
      </c>
      <c r="D116" s="66" t="s">
        <v>303</v>
      </c>
      <c r="E116" s="154">
        <f>SUM(40000*4)</f>
        <v>160000</v>
      </c>
      <c r="F116" s="96"/>
      <c r="G116" s="90"/>
      <c r="H116" s="90"/>
      <c r="I116" s="90"/>
      <c r="J116" s="90"/>
      <c r="K116" s="90"/>
    </row>
    <row r="117" spans="1:11" s="11" customFormat="1" ht="17" x14ac:dyDescent="0.2">
      <c r="A117" s="166"/>
      <c r="B117" s="100"/>
      <c r="C117" s="66" t="s">
        <v>8</v>
      </c>
      <c r="D117" s="66" t="s">
        <v>302</v>
      </c>
      <c r="E117" s="154">
        <f>SUM(2000*4)</f>
        <v>8000</v>
      </c>
      <c r="F117" s="96"/>
      <c r="G117" s="90"/>
      <c r="H117" s="90"/>
      <c r="I117" s="90"/>
      <c r="J117" s="90"/>
      <c r="K117" s="90"/>
    </row>
    <row r="118" spans="1:11" s="11" customFormat="1" ht="17" x14ac:dyDescent="0.2">
      <c r="A118" s="166"/>
      <c r="B118" s="100"/>
      <c r="C118" s="66" t="s">
        <v>29</v>
      </c>
      <c r="D118" s="66" t="s">
        <v>551</v>
      </c>
      <c r="E118" s="154">
        <f>700*120</f>
        <v>84000</v>
      </c>
      <c r="F118" s="157"/>
      <c r="G118" s="100"/>
      <c r="H118" s="100"/>
      <c r="I118" s="100"/>
      <c r="J118" s="100"/>
      <c r="K118" s="100"/>
    </row>
    <row r="119" spans="1:11" s="11" customFormat="1" ht="17" x14ac:dyDescent="0.2">
      <c r="A119" s="166"/>
      <c r="B119" s="100"/>
      <c r="C119" s="66" t="s">
        <v>285</v>
      </c>
      <c r="D119" s="66" t="s">
        <v>503</v>
      </c>
      <c r="E119" s="154">
        <v>120000</v>
      </c>
      <c r="F119" s="157"/>
      <c r="G119" s="90"/>
      <c r="H119" s="90"/>
      <c r="I119" s="90"/>
      <c r="J119" s="90"/>
      <c r="K119" s="90"/>
    </row>
    <row r="120" spans="1:11" s="11" customFormat="1" ht="17" x14ac:dyDescent="0.2">
      <c r="A120" s="166"/>
      <c r="B120" s="100"/>
      <c r="C120" s="66" t="s">
        <v>15</v>
      </c>
      <c r="D120" s="66" t="s">
        <v>500</v>
      </c>
      <c r="E120" s="154">
        <v>20000</v>
      </c>
      <c r="F120" s="157"/>
      <c r="G120" s="90"/>
      <c r="H120" s="90"/>
      <c r="I120" s="90"/>
      <c r="J120" s="90"/>
      <c r="K120" s="90"/>
    </row>
    <row r="121" spans="1:11" ht="17" x14ac:dyDescent="0.2">
      <c r="B121" s="39"/>
      <c r="C121" s="46" t="s">
        <v>26</v>
      </c>
      <c r="D121" s="46" t="s">
        <v>514</v>
      </c>
      <c r="E121" s="42">
        <v>150000</v>
      </c>
      <c r="F121" s="64"/>
      <c r="G121" s="145"/>
      <c r="H121" s="145"/>
      <c r="I121" s="145"/>
      <c r="J121" s="145"/>
      <c r="K121" s="145"/>
    </row>
    <row r="122" spans="1:11" ht="17" x14ac:dyDescent="0.2">
      <c r="A122" s="166"/>
      <c r="B122" s="100"/>
      <c r="C122" s="66" t="s">
        <v>308</v>
      </c>
      <c r="D122" s="66" t="s">
        <v>502</v>
      </c>
      <c r="E122" s="154">
        <f>SUM(120*200)</f>
        <v>24000</v>
      </c>
      <c r="F122" s="157"/>
      <c r="G122" s="145"/>
      <c r="H122" s="145"/>
      <c r="I122" s="145"/>
      <c r="J122" s="145"/>
      <c r="K122" s="145"/>
    </row>
    <row r="123" spans="1:11" ht="17" x14ac:dyDescent="0.2">
      <c r="B123" s="39"/>
      <c r="C123" s="59" t="s">
        <v>0</v>
      </c>
      <c r="D123" s="40"/>
      <c r="E123" s="58"/>
      <c r="F123" s="49">
        <f>SUM(E108:E122)</f>
        <v>4016000</v>
      </c>
      <c r="G123" s="145"/>
      <c r="H123" s="145"/>
      <c r="I123" s="145"/>
      <c r="J123" s="145"/>
      <c r="K123" s="145"/>
    </row>
    <row r="124" spans="1:11" x14ac:dyDescent="0.2">
      <c r="B124" s="147"/>
      <c r="C124" s="50"/>
      <c r="D124" s="51"/>
      <c r="E124" s="60"/>
      <c r="F124" s="53"/>
      <c r="G124" s="145"/>
      <c r="H124" s="145"/>
      <c r="I124" s="145"/>
      <c r="J124" s="145"/>
      <c r="K124" s="145"/>
    </row>
    <row r="125" spans="1:11" ht="17" x14ac:dyDescent="0.2">
      <c r="B125" s="39" t="s">
        <v>430</v>
      </c>
      <c r="C125" s="143" t="s">
        <v>35</v>
      </c>
      <c r="D125" s="40"/>
      <c r="E125" s="58"/>
      <c r="F125" s="58"/>
      <c r="G125" s="145"/>
      <c r="H125" s="145"/>
      <c r="I125" s="145"/>
      <c r="J125" s="145"/>
      <c r="K125" s="145"/>
    </row>
    <row r="126" spans="1:11" ht="51" customHeight="1" x14ac:dyDescent="0.2">
      <c r="B126" s="147"/>
      <c r="C126" s="192" t="s">
        <v>316</v>
      </c>
      <c r="D126" s="192"/>
      <c r="E126" s="192"/>
      <c r="F126" s="192"/>
      <c r="G126" s="145"/>
      <c r="H126" s="145"/>
      <c r="I126" s="145"/>
      <c r="J126" s="145"/>
      <c r="K126" s="145"/>
    </row>
    <row r="127" spans="1:11" ht="17" x14ac:dyDescent="0.2">
      <c r="B127" s="39"/>
      <c r="C127" s="143" t="s">
        <v>310</v>
      </c>
      <c r="D127" s="65">
        <f>SUM(E128:E129)</f>
        <v>132000</v>
      </c>
      <c r="E127" s="61"/>
      <c r="F127" s="58"/>
      <c r="G127" s="145"/>
      <c r="H127" s="145"/>
      <c r="I127" s="145"/>
      <c r="J127" s="145"/>
      <c r="K127" s="145"/>
    </row>
    <row r="128" spans="1:11" s="11" customFormat="1" ht="17" x14ac:dyDescent="0.2">
      <c r="A128" s="166"/>
      <c r="B128" s="100"/>
      <c r="C128" s="66" t="s">
        <v>8</v>
      </c>
      <c r="D128" s="66" t="s">
        <v>312</v>
      </c>
      <c r="E128" s="154">
        <f>SUM(2000*6)</f>
        <v>12000</v>
      </c>
      <c r="F128" s="96"/>
      <c r="G128" s="90"/>
      <c r="H128" s="90"/>
      <c r="I128" s="90"/>
      <c r="J128" s="90"/>
      <c r="K128" s="90"/>
    </row>
    <row r="129" spans="1:89" s="11" customFormat="1" ht="17" x14ac:dyDescent="0.2">
      <c r="A129" s="166"/>
      <c r="B129" s="100"/>
      <c r="C129" s="66" t="s">
        <v>212</v>
      </c>
      <c r="D129" s="66" t="s">
        <v>503</v>
      </c>
      <c r="E129" s="154">
        <f>SUM(1000*120)</f>
        <v>120000</v>
      </c>
      <c r="F129" s="96"/>
      <c r="G129" s="90"/>
      <c r="H129" s="90"/>
      <c r="I129" s="90"/>
      <c r="J129" s="90"/>
      <c r="K129" s="90"/>
    </row>
    <row r="130" spans="1:89" s="11" customFormat="1" ht="17" x14ac:dyDescent="0.2">
      <c r="A130" s="166"/>
      <c r="B130" s="100"/>
      <c r="C130" s="174" t="s">
        <v>311</v>
      </c>
      <c r="D130" s="183">
        <f>SUM(E131:E136)</f>
        <v>2380000</v>
      </c>
      <c r="E130" s="96"/>
      <c r="F130" s="96"/>
      <c r="G130" s="90"/>
      <c r="H130" s="90"/>
      <c r="I130" s="90"/>
      <c r="J130" s="90"/>
      <c r="K130" s="90"/>
    </row>
    <row r="131" spans="1:89" s="11" customFormat="1" ht="17" x14ac:dyDescent="0.2">
      <c r="A131" s="166"/>
      <c r="B131" s="100"/>
      <c r="C131" s="66" t="s">
        <v>313</v>
      </c>
      <c r="D131" s="66" t="s">
        <v>516</v>
      </c>
      <c r="E131" s="154">
        <f>SUM(10000*120)</f>
        <v>1200000</v>
      </c>
      <c r="F131" s="96"/>
      <c r="G131" s="90"/>
      <c r="H131" s="90"/>
      <c r="I131" s="90"/>
      <c r="J131" s="90"/>
      <c r="K131" s="90"/>
    </row>
    <row r="132" spans="1:89" s="11" customFormat="1" ht="17" x14ac:dyDescent="0.2">
      <c r="A132" s="166"/>
      <c r="B132" s="100"/>
      <c r="C132" s="66" t="s">
        <v>314</v>
      </c>
      <c r="D132" s="182" t="s">
        <v>315</v>
      </c>
      <c r="E132" s="154">
        <f>SUM(40000*6)</f>
        <v>240000</v>
      </c>
      <c r="F132" s="96"/>
      <c r="G132" s="90"/>
      <c r="H132" s="90"/>
      <c r="I132" s="90"/>
      <c r="J132" s="90"/>
      <c r="K132" s="90"/>
    </row>
    <row r="133" spans="1:89" s="11" customFormat="1" ht="17" x14ac:dyDescent="0.2">
      <c r="A133" s="166"/>
      <c r="B133" s="100"/>
      <c r="C133" s="66" t="s">
        <v>29</v>
      </c>
      <c r="D133" s="66" t="s">
        <v>503</v>
      </c>
      <c r="E133" s="154">
        <v>120000</v>
      </c>
      <c r="F133" s="96"/>
      <c r="G133" s="90"/>
      <c r="H133" s="90"/>
      <c r="I133" s="90"/>
      <c r="J133" s="90"/>
      <c r="K133" s="90"/>
    </row>
    <row r="134" spans="1:89" s="11" customFormat="1" ht="17" x14ac:dyDescent="0.2">
      <c r="A134" s="166"/>
      <c r="B134" s="100"/>
      <c r="C134" s="66" t="s">
        <v>252</v>
      </c>
      <c r="D134" s="66" t="s">
        <v>517</v>
      </c>
      <c r="E134" s="154">
        <f>SUM(6000*120)</f>
        <v>720000</v>
      </c>
      <c r="F134" s="96"/>
      <c r="G134" s="90"/>
      <c r="H134" s="90"/>
      <c r="I134" s="90"/>
      <c r="J134" s="90"/>
      <c r="K134" s="90"/>
    </row>
    <row r="135" spans="1:89" s="11" customFormat="1" ht="17" x14ac:dyDescent="0.2">
      <c r="A135" s="166"/>
      <c r="B135" s="100"/>
      <c r="C135" s="66" t="s">
        <v>10</v>
      </c>
      <c r="D135" s="66" t="s">
        <v>505</v>
      </c>
      <c r="E135" s="154">
        <f>SUM(500*120)</f>
        <v>60000</v>
      </c>
      <c r="F135" s="96"/>
      <c r="G135" s="90"/>
      <c r="H135" s="90"/>
      <c r="I135" s="90"/>
      <c r="J135" s="90"/>
      <c r="K135" s="90"/>
    </row>
    <row r="136" spans="1:89" s="11" customFormat="1" ht="17" x14ac:dyDescent="0.2">
      <c r="A136" s="166"/>
      <c r="B136" s="100"/>
      <c r="C136" s="66" t="s">
        <v>11</v>
      </c>
      <c r="D136" s="66" t="s">
        <v>518</v>
      </c>
      <c r="E136" s="154">
        <v>40000</v>
      </c>
      <c r="F136" s="96"/>
      <c r="G136" s="90"/>
      <c r="H136" s="90"/>
      <c r="I136" s="90"/>
      <c r="J136" s="90"/>
      <c r="K136" s="90"/>
    </row>
    <row r="137" spans="1:89" ht="17" x14ac:dyDescent="0.2">
      <c r="B137" s="39"/>
      <c r="C137" s="59" t="s">
        <v>0</v>
      </c>
      <c r="D137" s="45"/>
      <c r="E137" s="58"/>
      <c r="F137" s="49">
        <f>SUM(E128:E136)</f>
        <v>2512000</v>
      </c>
      <c r="G137" s="145"/>
      <c r="H137" s="145"/>
      <c r="I137" s="145"/>
      <c r="J137" s="145"/>
      <c r="K137" s="145"/>
    </row>
    <row r="138" spans="1:89" x14ac:dyDescent="0.2">
      <c r="B138" s="147"/>
      <c r="C138" s="50"/>
      <c r="D138" s="51"/>
      <c r="E138" s="60"/>
      <c r="F138" s="53"/>
      <c r="G138" s="145"/>
      <c r="H138" s="145"/>
      <c r="I138" s="145"/>
      <c r="J138" s="145"/>
      <c r="K138" s="145"/>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row>
    <row r="139" spans="1:89" x14ac:dyDescent="0.2">
      <c r="B139" s="39" t="s">
        <v>431</v>
      </c>
      <c r="C139" s="208" t="s">
        <v>36</v>
      </c>
      <c r="D139" s="208"/>
      <c r="E139" s="58"/>
      <c r="F139" s="58"/>
      <c r="G139" s="145"/>
      <c r="H139" s="145"/>
      <c r="I139" s="145"/>
      <c r="J139" s="145"/>
      <c r="K139" s="145"/>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row>
    <row r="140" spans="1:89" ht="55.25" customHeight="1" x14ac:dyDescent="0.2">
      <c r="B140" s="147"/>
      <c r="C140" s="192" t="s">
        <v>339</v>
      </c>
      <c r="D140" s="192"/>
      <c r="E140" s="192"/>
      <c r="F140" s="192"/>
      <c r="G140" s="145"/>
      <c r="H140" s="145"/>
      <c r="I140" s="145"/>
      <c r="J140" s="145"/>
      <c r="K140" s="145"/>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row>
    <row r="141" spans="1:89" s="11" customFormat="1" ht="17" x14ac:dyDescent="0.2">
      <c r="A141" s="166"/>
      <c r="B141" s="100"/>
      <c r="C141" s="66" t="s">
        <v>16</v>
      </c>
      <c r="D141" s="66" t="s">
        <v>369</v>
      </c>
      <c r="E141" s="154">
        <f>SUM(20000*4)</f>
        <v>80000</v>
      </c>
      <c r="F141" s="96"/>
      <c r="G141" s="90"/>
      <c r="H141" s="90"/>
      <c r="I141" s="90"/>
      <c r="J141" s="90"/>
      <c r="K141" s="90"/>
    </row>
    <row r="142" spans="1:89" s="11" customFormat="1" ht="17" x14ac:dyDescent="0.2">
      <c r="A142" s="166"/>
      <c r="B142" s="100"/>
      <c r="C142" s="66" t="s">
        <v>9</v>
      </c>
      <c r="D142" s="66" t="s">
        <v>370</v>
      </c>
      <c r="E142" s="154">
        <v>30000</v>
      </c>
      <c r="F142" s="96"/>
      <c r="G142" s="90"/>
      <c r="H142" s="90"/>
      <c r="I142" s="90"/>
      <c r="J142" s="90"/>
      <c r="K142" s="90"/>
    </row>
    <row r="143" spans="1:89" s="11" customFormat="1" ht="17" x14ac:dyDescent="0.2">
      <c r="A143" s="166"/>
      <c r="B143" s="100"/>
      <c r="C143" s="66" t="s">
        <v>129</v>
      </c>
      <c r="D143" s="66" t="s">
        <v>519</v>
      </c>
      <c r="E143" s="154">
        <v>61000</v>
      </c>
      <c r="F143" s="96"/>
      <c r="G143" s="90"/>
      <c r="H143" s="90"/>
      <c r="I143" s="90"/>
      <c r="J143" s="90"/>
      <c r="K143" s="90"/>
    </row>
    <row r="144" spans="1:89" s="11" customFormat="1" ht="17" x14ac:dyDescent="0.2">
      <c r="A144" s="166"/>
      <c r="B144" s="100"/>
      <c r="C144" s="66" t="s">
        <v>17</v>
      </c>
      <c r="D144" s="66" t="s">
        <v>18</v>
      </c>
      <c r="E144" s="154">
        <v>31000</v>
      </c>
      <c r="F144" s="96"/>
      <c r="G144" s="90"/>
      <c r="H144" s="90"/>
      <c r="I144" s="90"/>
      <c r="J144" s="90"/>
      <c r="K144" s="90"/>
    </row>
    <row r="145" spans="1:89" s="11" customFormat="1" ht="17" x14ac:dyDescent="0.2">
      <c r="A145" s="166"/>
      <c r="B145" s="100"/>
      <c r="C145" s="66" t="s">
        <v>165</v>
      </c>
      <c r="D145" s="179" t="s">
        <v>516</v>
      </c>
      <c r="E145" s="154">
        <f>10000*120</f>
        <v>1200000</v>
      </c>
      <c r="F145" s="96"/>
      <c r="G145" s="90"/>
      <c r="H145" s="90"/>
      <c r="I145" s="90"/>
      <c r="J145" s="90"/>
      <c r="K145" s="90"/>
    </row>
    <row r="146" spans="1:89" ht="17" x14ac:dyDescent="0.2">
      <c r="B146" s="39"/>
      <c r="C146" s="59" t="s">
        <v>0</v>
      </c>
      <c r="D146" s="40"/>
      <c r="E146" s="58"/>
      <c r="F146" s="49">
        <f>SUM(E141:E145)</f>
        <v>1402000</v>
      </c>
      <c r="G146" s="145"/>
      <c r="H146" s="145"/>
      <c r="I146" s="145"/>
      <c r="J146" s="145"/>
      <c r="K146" s="145"/>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row>
    <row r="147" spans="1:89" x14ac:dyDescent="0.2">
      <c r="B147" s="147"/>
      <c r="C147" s="50"/>
      <c r="D147" s="51"/>
      <c r="E147" s="60"/>
      <c r="F147" s="53"/>
      <c r="G147" s="145"/>
      <c r="H147" s="145"/>
      <c r="I147" s="145"/>
      <c r="J147" s="145"/>
      <c r="K147" s="145"/>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row>
    <row r="148" spans="1:89" ht="17" x14ac:dyDescent="0.2">
      <c r="B148" s="39" t="s">
        <v>432</v>
      </c>
      <c r="C148" s="144" t="s">
        <v>173</v>
      </c>
      <c r="D148" s="41"/>
      <c r="E148" s="61"/>
      <c r="F148" s="61"/>
      <c r="G148" s="145"/>
      <c r="H148" s="145"/>
      <c r="I148" s="145"/>
      <c r="J148" s="145"/>
      <c r="K148" s="145"/>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row>
    <row r="149" spans="1:89" ht="67.25" customHeight="1" x14ac:dyDescent="0.2">
      <c r="B149" s="147"/>
      <c r="C149" s="196" t="s">
        <v>341</v>
      </c>
      <c r="D149" s="196"/>
      <c r="E149" s="196"/>
      <c r="F149" s="210"/>
      <c r="G149" s="145"/>
      <c r="H149" s="145"/>
      <c r="I149" s="145"/>
      <c r="J149" s="145"/>
      <c r="K149" s="145"/>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row>
    <row r="150" spans="1:89" s="11" customFormat="1" ht="17" x14ac:dyDescent="0.2">
      <c r="A150" s="166"/>
      <c r="B150" s="100"/>
      <c r="C150" s="66" t="s">
        <v>174</v>
      </c>
      <c r="D150" s="66" t="s">
        <v>520</v>
      </c>
      <c r="E150" s="154">
        <f>SUM(5000*121)</f>
        <v>605000</v>
      </c>
      <c r="F150" s="96"/>
      <c r="G150" s="90"/>
      <c r="H150" s="90"/>
      <c r="I150" s="90"/>
      <c r="J150" s="90"/>
      <c r="K150" s="90"/>
    </row>
    <row r="151" spans="1:89" s="11" customFormat="1" ht="17" x14ac:dyDescent="0.2">
      <c r="A151" s="166"/>
      <c r="B151" s="100"/>
      <c r="C151" s="66" t="s">
        <v>181</v>
      </c>
      <c r="D151" s="66" t="s">
        <v>504</v>
      </c>
      <c r="E151" s="154">
        <v>182000</v>
      </c>
      <c r="F151" s="96"/>
      <c r="G151" s="90"/>
      <c r="H151" s="90"/>
      <c r="I151" s="90"/>
      <c r="J151" s="90"/>
      <c r="K151" s="90"/>
    </row>
    <row r="152" spans="1:89" s="11" customFormat="1" ht="17" x14ac:dyDescent="0.2">
      <c r="A152" s="166"/>
      <c r="B152" s="100"/>
      <c r="C152" s="66" t="s">
        <v>213</v>
      </c>
      <c r="D152" s="66" t="s">
        <v>340</v>
      </c>
      <c r="E152" s="96">
        <f>SUM(25000*9)</f>
        <v>225000</v>
      </c>
      <c r="F152" s="96"/>
      <c r="G152" s="90"/>
      <c r="H152" s="90"/>
      <c r="I152" s="90"/>
      <c r="J152" s="90"/>
      <c r="K152" s="90"/>
    </row>
    <row r="153" spans="1:89" s="11" customFormat="1" ht="17" x14ac:dyDescent="0.2">
      <c r="A153" s="166"/>
      <c r="B153" s="100"/>
      <c r="C153" s="66" t="s">
        <v>129</v>
      </c>
      <c r="D153" s="178"/>
      <c r="E153" s="96">
        <v>24000</v>
      </c>
      <c r="F153" s="96"/>
      <c r="G153" s="90"/>
      <c r="H153" s="90"/>
      <c r="I153" s="90"/>
      <c r="J153" s="90"/>
      <c r="K153" s="90"/>
    </row>
    <row r="154" spans="1:89" s="11" customFormat="1" ht="17" x14ac:dyDescent="0.2">
      <c r="A154" s="166"/>
      <c r="B154" s="100"/>
      <c r="C154" s="156" t="s">
        <v>214</v>
      </c>
      <c r="D154" s="156" t="s">
        <v>493</v>
      </c>
      <c r="E154" s="154">
        <v>33000</v>
      </c>
      <c r="F154" s="96"/>
      <c r="G154" s="90"/>
      <c r="H154" s="90"/>
      <c r="I154" s="90"/>
      <c r="J154" s="90"/>
      <c r="K154" s="90"/>
    </row>
    <row r="155" spans="1:89" ht="17" customHeight="1" x14ac:dyDescent="0.2">
      <c r="B155" s="39"/>
      <c r="C155" s="62" t="s">
        <v>0</v>
      </c>
      <c r="D155" s="41"/>
      <c r="E155" s="61"/>
      <c r="F155" s="63">
        <f>SUM(E150:E154)</f>
        <v>1069000</v>
      </c>
      <c r="G155" s="145"/>
      <c r="H155" s="145"/>
      <c r="I155" s="145"/>
      <c r="J155" s="145"/>
      <c r="K155" s="145"/>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row>
    <row r="156" spans="1:89" x14ac:dyDescent="0.2">
      <c r="B156" s="147"/>
      <c r="C156" s="50"/>
      <c r="D156" s="51"/>
      <c r="E156" s="60"/>
      <c r="F156" s="53"/>
      <c r="G156" s="145"/>
      <c r="H156" s="145"/>
      <c r="I156" s="145"/>
      <c r="J156" s="145"/>
      <c r="K156" s="145"/>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row>
    <row r="157" spans="1:89" ht="17" x14ac:dyDescent="0.2">
      <c r="B157" s="39" t="s">
        <v>433</v>
      </c>
      <c r="C157" s="144" t="s">
        <v>180</v>
      </c>
      <c r="D157" s="144"/>
      <c r="E157" s="71"/>
      <c r="F157" s="72"/>
      <c r="G157" s="145"/>
      <c r="H157" s="145"/>
      <c r="I157" s="145"/>
      <c r="J157" s="145"/>
      <c r="K157" s="145"/>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row>
    <row r="158" spans="1:89" ht="85.25" customHeight="1" x14ac:dyDescent="0.2">
      <c r="B158" s="147"/>
      <c r="C158" s="192" t="s">
        <v>216</v>
      </c>
      <c r="D158" s="192"/>
      <c r="E158" s="192"/>
      <c r="F158" s="195"/>
      <c r="G158" s="145"/>
      <c r="H158" s="145"/>
      <c r="I158" s="145"/>
      <c r="J158" s="145"/>
      <c r="K158" s="145"/>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row>
    <row r="159" spans="1:89" s="11" customFormat="1" ht="17" x14ac:dyDescent="0.2">
      <c r="A159" s="166"/>
      <c r="B159" s="100"/>
      <c r="C159" s="184" t="s">
        <v>494</v>
      </c>
      <c r="D159" s="66" t="s">
        <v>522</v>
      </c>
      <c r="E159" s="155">
        <f>SUM(30000*120)</f>
        <v>3600000</v>
      </c>
      <c r="F159" s="175"/>
      <c r="G159" s="90"/>
      <c r="H159" s="90"/>
      <c r="I159" s="90"/>
      <c r="J159" s="90"/>
      <c r="K159" s="90"/>
    </row>
    <row r="160" spans="1:89" s="11" customFormat="1" ht="17" x14ac:dyDescent="0.2">
      <c r="A160" s="166"/>
      <c r="B160" s="100"/>
      <c r="C160" s="184" t="s">
        <v>222</v>
      </c>
      <c r="D160" s="66" t="s">
        <v>223</v>
      </c>
      <c r="E160" s="155">
        <v>180000</v>
      </c>
      <c r="F160" s="175"/>
      <c r="G160" s="90"/>
      <c r="H160" s="90"/>
      <c r="I160" s="90"/>
      <c r="J160" s="90"/>
      <c r="K160" s="90"/>
    </row>
    <row r="161" spans="1:89" ht="17" x14ac:dyDescent="0.2">
      <c r="B161" s="39"/>
      <c r="C161" s="59" t="s">
        <v>0</v>
      </c>
      <c r="D161" s="40"/>
      <c r="E161" s="58"/>
      <c r="F161" s="49">
        <f>SUM(E159:E160)</f>
        <v>3780000</v>
      </c>
      <c r="G161" s="145"/>
      <c r="H161" s="145"/>
      <c r="I161" s="145"/>
      <c r="J161" s="145"/>
      <c r="K161" s="145"/>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row>
    <row r="162" spans="1:89" x14ac:dyDescent="0.2">
      <c r="B162" s="147"/>
      <c r="C162" s="50"/>
      <c r="D162" s="51"/>
      <c r="E162" s="60"/>
      <c r="F162" s="53"/>
      <c r="G162" s="145"/>
      <c r="H162" s="145"/>
      <c r="I162" s="145"/>
      <c r="J162" s="145"/>
      <c r="K162" s="145"/>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row>
    <row r="163" spans="1:89" ht="17" x14ac:dyDescent="0.2">
      <c r="B163" s="39" t="s">
        <v>435</v>
      </c>
      <c r="C163" s="144" t="s">
        <v>235</v>
      </c>
      <c r="D163" s="41"/>
      <c r="E163" s="61"/>
      <c r="F163" s="61"/>
      <c r="G163" s="145"/>
      <c r="H163" s="145"/>
      <c r="I163" s="145"/>
      <c r="J163" s="145"/>
      <c r="K163" s="145"/>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row>
    <row r="164" spans="1:89" ht="45.5" customHeight="1" x14ac:dyDescent="0.2">
      <c r="B164" s="147"/>
      <c r="C164" s="198" t="s">
        <v>343</v>
      </c>
      <c r="D164" s="198"/>
      <c r="E164" s="198"/>
      <c r="F164" s="198"/>
      <c r="G164" s="145"/>
      <c r="H164" s="145"/>
      <c r="I164" s="145"/>
      <c r="J164" s="145"/>
      <c r="K164" s="145"/>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row>
    <row r="165" spans="1:89" s="11" customFormat="1" ht="17" x14ac:dyDescent="0.2">
      <c r="A165" s="166"/>
      <c r="B165" s="100"/>
      <c r="C165" s="66" t="s">
        <v>342</v>
      </c>
      <c r="D165" s="66" t="s">
        <v>545</v>
      </c>
      <c r="E165" s="154">
        <f>430*3*120</f>
        <v>154800</v>
      </c>
      <c r="F165" s="96"/>
      <c r="G165" s="90"/>
      <c r="H165" s="90"/>
      <c r="I165" s="90"/>
      <c r="J165" s="90"/>
      <c r="K165" s="90"/>
    </row>
    <row r="166" spans="1:89" s="11" customFormat="1" ht="17" x14ac:dyDescent="0.2">
      <c r="A166" s="166"/>
      <c r="B166" s="100"/>
      <c r="C166" s="66" t="s">
        <v>345</v>
      </c>
      <c r="D166" s="66" t="s">
        <v>344</v>
      </c>
      <c r="E166" s="154">
        <f>SUM(40000*6)</f>
        <v>240000</v>
      </c>
      <c r="F166" s="96"/>
      <c r="G166" s="90"/>
      <c r="H166" s="90"/>
      <c r="I166" s="90"/>
      <c r="J166" s="90"/>
      <c r="K166" s="90"/>
    </row>
    <row r="167" spans="1:89" s="11" customFormat="1" ht="17" x14ac:dyDescent="0.2">
      <c r="A167" s="166"/>
      <c r="B167" s="100"/>
      <c r="C167" s="66" t="s">
        <v>252</v>
      </c>
      <c r="D167" s="66" t="s">
        <v>346</v>
      </c>
      <c r="E167" s="154">
        <v>411000</v>
      </c>
      <c r="F167" s="96"/>
      <c r="G167" s="90"/>
      <c r="H167" s="90"/>
      <c r="I167" s="90"/>
      <c r="J167" s="90"/>
      <c r="K167" s="90"/>
    </row>
    <row r="168" spans="1:89" s="11" customFormat="1" ht="17" x14ac:dyDescent="0.2">
      <c r="A168" s="166"/>
      <c r="B168" s="100"/>
      <c r="C168" s="66" t="s">
        <v>9</v>
      </c>
      <c r="D168" s="66" t="s">
        <v>347</v>
      </c>
      <c r="E168" s="154">
        <v>15000</v>
      </c>
      <c r="F168" s="96"/>
      <c r="G168" s="90"/>
      <c r="H168" s="90"/>
      <c r="I168" s="90"/>
      <c r="J168" s="90"/>
      <c r="K168" s="90"/>
    </row>
    <row r="169" spans="1:89" ht="17" x14ac:dyDescent="0.2">
      <c r="B169" s="39"/>
      <c r="C169" s="62" t="s">
        <v>0</v>
      </c>
      <c r="D169" s="41"/>
      <c r="E169" s="61"/>
      <c r="F169" s="63">
        <f>SUM(E165:E168)</f>
        <v>820800</v>
      </c>
      <c r="G169" s="145"/>
      <c r="H169" s="145"/>
      <c r="I169" s="145"/>
      <c r="J169" s="145"/>
      <c r="K169" s="145"/>
    </row>
    <row r="170" spans="1:89" x14ac:dyDescent="0.2">
      <c r="B170" s="147"/>
      <c r="C170" s="50"/>
      <c r="D170" s="51"/>
      <c r="E170" s="60"/>
      <c r="F170" s="53"/>
      <c r="G170" s="145"/>
      <c r="H170" s="145"/>
      <c r="I170" s="145"/>
      <c r="J170" s="145"/>
      <c r="K170" s="145"/>
    </row>
    <row r="171" spans="1:89" x14ac:dyDescent="0.2">
      <c r="B171" s="39" t="s">
        <v>436</v>
      </c>
      <c r="C171" s="39" t="s">
        <v>236</v>
      </c>
      <c r="D171" s="144"/>
      <c r="E171" s="71"/>
      <c r="F171" s="72"/>
      <c r="G171" s="145"/>
      <c r="H171" s="145"/>
      <c r="I171" s="145"/>
      <c r="J171" s="145"/>
      <c r="K171" s="145"/>
    </row>
    <row r="172" spans="1:89" ht="83" customHeight="1" x14ac:dyDescent="0.2">
      <c r="B172" s="147"/>
      <c r="C172" s="196" t="s">
        <v>348</v>
      </c>
      <c r="D172" s="212"/>
      <c r="E172" s="212"/>
      <c r="F172" s="212"/>
      <c r="G172" s="212"/>
      <c r="H172" s="212"/>
      <c r="I172" s="212"/>
      <c r="J172" s="212"/>
      <c r="K172" s="212"/>
    </row>
    <row r="173" spans="1:89" s="11" customFormat="1" ht="17" x14ac:dyDescent="0.2">
      <c r="A173" s="166"/>
      <c r="B173" s="100"/>
      <c r="C173" s="161" t="s">
        <v>350</v>
      </c>
      <c r="D173" s="66" t="s">
        <v>349</v>
      </c>
      <c r="E173" s="155">
        <f>SUM(40000*5)</f>
        <v>200000</v>
      </c>
      <c r="F173" s="175"/>
      <c r="G173" s="90"/>
      <c r="H173" s="90"/>
      <c r="I173" s="90"/>
      <c r="J173" s="90"/>
      <c r="K173" s="90"/>
    </row>
    <row r="174" spans="1:89" s="11" customFormat="1" ht="17" x14ac:dyDescent="0.2">
      <c r="A174" s="166"/>
      <c r="B174" s="100"/>
      <c r="C174" s="161" t="s">
        <v>252</v>
      </c>
      <c r="D174" s="66" t="s">
        <v>351</v>
      </c>
      <c r="E174" s="155">
        <f>SUM(150*5*3*120)</f>
        <v>270000</v>
      </c>
      <c r="F174" s="175"/>
      <c r="G174" s="90"/>
      <c r="H174" s="90"/>
      <c r="I174" s="90"/>
      <c r="J174" s="90"/>
      <c r="K174" s="90"/>
    </row>
    <row r="175" spans="1:89" s="11" customFormat="1" ht="17" x14ac:dyDescent="0.2">
      <c r="A175" s="166"/>
      <c r="B175" s="100"/>
      <c r="C175" s="161" t="s">
        <v>218</v>
      </c>
      <c r="D175" s="66" t="s">
        <v>546</v>
      </c>
      <c r="E175" s="155">
        <f>SUM(300*3*120)</f>
        <v>108000</v>
      </c>
      <c r="F175" s="175"/>
      <c r="G175" s="90"/>
      <c r="H175" s="90"/>
      <c r="I175" s="90"/>
      <c r="J175" s="90"/>
      <c r="K175" s="90"/>
    </row>
    <row r="176" spans="1:89" s="11" customFormat="1" ht="17" x14ac:dyDescent="0.2">
      <c r="A176" s="166"/>
      <c r="B176" s="100"/>
      <c r="C176" s="161" t="s">
        <v>175</v>
      </c>
      <c r="D176" s="66"/>
      <c r="E176" s="155">
        <v>52000</v>
      </c>
      <c r="F176" s="175"/>
      <c r="G176" s="90"/>
      <c r="H176" s="90"/>
      <c r="I176" s="90"/>
      <c r="J176" s="90"/>
      <c r="K176" s="90"/>
    </row>
    <row r="177" spans="1:89" s="11" customFormat="1" ht="17" x14ac:dyDescent="0.2">
      <c r="A177" s="166"/>
      <c r="B177" s="100"/>
      <c r="C177" s="66" t="s">
        <v>9</v>
      </c>
      <c r="D177" s="66" t="s">
        <v>217</v>
      </c>
      <c r="E177" s="154">
        <v>5000</v>
      </c>
      <c r="F177" s="175"/>
      <c r="G177" s="90"/>
      <c r="H177" s="90"/>
      <c r="I177" s="90"/>
      <c r="J177" s="90"/>
      <c r="K177" s="90"/>
    </row>
    <row r="178" spans="1:89" s="3" customFormat="1" ht="17" x14ac:dyDescent="0.2">
      <c r="A178" s="165"/>
      <c r="B178" s="39"/>
      <c r="C178" s="62" t="s">
        <v>0</v>
      </c>
      <c r="D178" s="144"/>
      <c r="E178" s="72"/>
      <c r="F178" s="72">
        <f>SUM(E173:E177)</f>
        <v>635000</v>
      </c>
      <c r="G178" s="39"/>
      <c r="H178" s="39"/>
      <c r="I178" s="39"/>
      <c r="J178" s="39"/>
      <c r="K178" s="39"/>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row>
    <row r="179" spans="1:89" s="3" customFormat="1" x14ac:dyDescent="0.2">
      <c r="A179" s="165"/>
      <c r="B179" s="147"/>
      <c r="C179" s="50"/>
      <c r="D179" s="51"/>
      <c r="E179" s="60"/>
      <c r="F179" s="53"/>
      <c r="G179" s="145"/>
      <c r="H179" s="145"/>
      <c r="I179" s="145"/>
      <c r="J179" s="145"/>
      <c r="K179" s="145"/>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row>
    <row r="180" spans="1:89" x14ac:dyDescent="0.2">
      <c r="B180" s="39" t="s">
        <v>437</v>
      </c>
      <c r="C180" s="208" t="s">
        <v>356</v>
      </c>
      <c r="D180" s="208"/>
      <c r="E180" s="58"/>
      <c r="F180" s="58"/>
      <c r="G180" s="145"/>
      <c r="H180" s="145"/>
      <c r="I180" s="145"/>
      <c r="J180" s="145"/>
      <c r="K180" s="145"/>
    </row>
    <row r="181" spans="1:89" ht="36" customHeight="1" x14ac:dyDescent="0.2">
      <c r="B181" s="147"/>
      <c r="C181" s="199" t="s">
        <v>12</v>
      </c>
      <c r="D181" s="199"/>
      <c r="E181" s="199"/>
      <c r="F181" s="200"/>
      <c r="G181" s="145"/>
      <c r="H181" s="145"/>
      <c r="I181" s="145"/>
      <c r="J181" s="145"/>
      <c r="K181" s="145"/>
    </row>
    <row r="182" spans="1:89" s="11" customFormat="1" ht="15" customHeight="1" x14ac:dyDescent="0.2">
      <c r="A182" s="166"/>
      <c r="B182" s="100"/>
      <c r="C182" s="161" t="s">
        <v>21</v>
      </c>
      <c r="D182" s="66" t="s">
        <v>497</v>
      </c>
      <c r="E182" s="155">
        <f>2000*120</f>
        <v>240000</v>
      </c>
      <c r="F182" s="175"/>
      <c r="G182" s="90"/>
      <c r="H182" s="90"/>
      <c r="I182" s="90"/>
      <c r="J182" s="90"/>
      <c r="K182" s="90"/>
    </row>
    <row r="183" spans="1:89" s="11" customFormat="1" ht="17" x14ac:dyDescent="0.2">
      <c r="A183" s="166"/>
      <c r="B183" s="100"/>
      <c r="C183" s="66" t="s">
        <v>354</v>
      </c>
      <c r="D183" s="66" t="s">
        <v>496</v>
      </c>
      <c r="E183" s="154">
        <v>50000</v>
      </c>
      <c r="F183" s="96"/>
      <c r="G183" s="90"/>
      <c r="H183" s="90"/>
      <c r="I183" s="90"/>
      <c r="J183" s="90"/>
      <c r="K183" s="90"/>
    </row>
    <row r="184" spans="1:89" s="11" customFormat="1" ht="17" x14ac:dyDescent="0.2">
      <c r="A184" s="166"/>
      <c r="B184" s="100"/>
      <c r="C184" s="66" t="s">
        <v>292</v>
      </c>
      <c r="D184" s="66" t="s">
        <v>355</v>
      </c>
      <c r="E184" s="154">
        <v>4000</v>
      </c>
      <c r="F184" s="96"/>
      <c r="G184" s="90"/>
      <c r="H184" s="90"/>
      <c r="I184" s="90"/>
      <c r="J184" s="90"/>
      <c r="K184" s="90"/>
    </row>
    <row r="185" spans="1:89" s="11" customFormat="1" ht="17" x14ac:dyDescent="0.2">
      <c r="A185" s="166"/>
      <c r="B185" s="100"/>
      <c r="C185" s="66" t="s">
        <v>358</v>
      </c>
      <c r="D185" s="66" t="s">
        <v>523</v>
      </c>
      <c r="E185" s="154">
        <f>SUM(350*120)</f>
        <v>42000</v>
      </c>
      <c r="F185" s="96"/>
      <c r="G185" s="90"/>
      <c r="H185" s="90"/>
      <c r="I185" s="90"/>
      <c r="J185" s="90"/>
      <c r="K185" s="90"/>
    </row>
    <row r="186" spans="1:89" ht="17" x14ac:dyDescent="0.2">
      <c r="B186" s="39"/>
      <c r="C186" s="59" t="s">
        <v>0</v>
      </c>
      <c r="D186" s="40"/>
      <c r="E186" s="58"/>
      <c r="F186" s="49">
        <f>SUM(E182:E185)</f>
        <v>336000</v>
      </c>
      <c r="G186" s="145"/>
      <c r="H186" s="145"/>
      <c r="I186" s="145"/>
      <c r="J186" s="145"/>
      <c r="K186" s="145"/>
    </row>
    <row r="187" spans="1:89" x14ac:dyDescent="0.2">
      <c r="A187" s="168"/>
      <c r="B187" s="147"/>
      <c r="C187" s="50"/>
      <c r="D187" s="51"/>
      <c r="E187" s="60"/>
      <c r="F187" s="53"/>
      <c r="G187" s="145"/>
      <c r="H187" s="145"/>
      <c r="I187" s="145"/>
      <c r="J187" s="145"/>
      <c r="K187" s="145"/>
    </row>
    <row r="188" spans="1:89" ht="17" x14ac:dyDescent="0.2">
      <c r="A188" s="168"/>
      <c r="B188" s="39" t="s">
        <v>438</v>
      </c>
      <c r="C188" s="80" t="s">
        <v>238</v>
      </c>
      <c r="D188" s="81"/>
      <c r="E188" s="44"/>
      <c r="F188" s="49"/>
      <c r="G188" s="145"/>
      <c r="H188" s="145"/>
      <c r="I188" s="145"/>
      <c r="J188" s="145"/>
      <c r="K188" s="145"/>
    </row>
    <row r="189" spans="1:89" ht="38" customHeight="1" x14ac:dyDescent="0.2">
      <c r="B189" s="147"/>
      <c r="C189" s="192" t="s">
        <v>20</v>
      </c>
      <c r="D189" s="192"/>
      <c r="E189" s="192"/>
      <c r="F189" s="193"/>
      <c r="G189" s="145"/>
      <c r="H189" s="145"/>
      <c r="I189" s="145"/>
      <c r="J189" s="145"/>
      <c r="K189" s="145"/>
    </row>
    <row r="190" spans="1:89" s="11" customFormat="1" ht="17" x14ac:dyDescent="0.2">
      <c r="A190" s="166"/>
      <c r="B190" s="100"/>
      <c r="C190" s="161" t="s">
        <v>19</v>
      </c>
      <c r="D190" s="185" t="s">
        <v>498</v>
      </c>
      <c r="E190" s="154">
        <f>5000*120</f>
        <v>600000</v>
      </c>
      <c r="F190" s="177"/>
      <c r="G190" s="90"/>
      <c r="H190" s="90"/>
      <c r="I190" s="90"/>
      <c r="J190" s="90"/>
      <c r="K190" s="90"/>
    </row>
    <row r="191" spans="1:89" ht="17" x14ac:dyDescent="0.2">
      <c r="B191" s="39"/>
      <c r="C191" s="74" t="s">
        <v>0</v>
      </c>
      <c r="D191" s="62"/>
      <c r="E191" s="71"/>
      <c r="F191" s="82">
        <f>E190</f>
        <v>600000</v>
      </c>
      <c r="G191" s="145"/>
      <c r="H191" s="145"/>
      <c r="I191" s="145"/>
      <c r="J191" s="145"/>
      <c r="K191" s="145"/>
    </row>
    <row r="192" spans="1:89" x14ac:dyDescent="0.2">
      <c r="B192" s="147"/>
      <c r="C192" s="76"/>
      <c r="D192" s="77"/>
      <c r="E192" s="78"/>
      <c r="F192" s="79"/>
      <c r="G192" s="145"/>
      <c r="H192" s="145"/>
      <c r="I192" s="145"/>
      <c r="J192" s="145"/>
      <c r="K192" s="145"/>
    </row>
    <row r="193" spans="1:89" ht="17" x14ac:dyDescent="0.2">
      <c r="B193" s="39" t="s">
        <v>439</v>
      </c>
      <c r="C193" s="144" t="s">
        <v>291</v>
      </c>
      <c r="D193" s="41"/>
      <c r="E193" s="61"/>
      <c r="F193" s="75"/>
      <c r="G193" s="145"/>
      <c r="H193" s="145"/>
      <c r="I193" s="145"/>
      <c r="J193" s="145"/>
      <c r="K193" s="145"/>
    </row>
    <row r="194" spans="1:89" ht="55.75" customHeight="1" x14ac:dyDescent="0.2">
      <c r="B194" s="147"/>
      <c r="C194" s="192" t="s">
        <v>489</v>
      </c>
      <c r="D194" s="192"/>
      <c r="E194" s="192"/>
      <c r="F194" s="193"/>
      <c r="G194" s="145"/>
      <c r="H194" s="145"/>
      <c r="I194" s="145"/>
      <c r="J194" s="145"/>
      <c r="K194" s="145"/>
    </row>
    <row r="195" spans="1:89" s="11" customFormat="1" ht="17" x14ac:dyDescent="0.2">
      <c r="A195" s="166"/>
      <c r="B195" s="100"/>
      <c r="C195" s="66" t="s">
        <v>360</v>
      </c>
      <c r="D195" s="156" t="s">
        <v>362</v>
      </c>
      <c r="E195" s="96">
        <v>48000</v>
      </c>
      <c r="F195" s="157"/>
      <c r="G195" s="90"/>
      <c r="H195" s="90"/>
      <c r="I195" s="90"/>
      <c r="J195" s="90"/>
      <c r="K195" s="90"/>
    </row>
    <row r="196" spans="1:89" s="11" customFormat="1" ht="17" x14ac:dyDescent="0.2">
      <c r="A196" s="166"/>
      <c r="B196" s="100"/>
      <c r="C196" s="66" t="s">
        <v>371</v>
      </c>
      <c r="D196" s="156" t="s">
        <v>544</v>
      </c>
      <c r="E196" s="96">
        <f>120000+28200</f>
        <v>148200</v>
      </c>
      <c r="F196" s="157"/>
      <c r="G196" s="90"/>
      <c r="H196" s="90"/>
      <c r="I196" s="90"/>
      <c r="J196" s="90"/>
      <c r="K196" s="90"/>
    </row>
    <row r="197" spans="1:89" s="11" customFormat="1" ht="17" x14ac:dyDescent="0.2">
      <c r="A197" s="166"/>
      <c r="B197" s="100"/>
      <c r="C197" s="66" t="s">
        <v>361</v>
      </c>
      <c r="D197" s="156" t="s">
        <v>524</v>
      </c>
      <c r="E197" s="96">
        <v>50000</v>
      </c>
      <c r="F197" s="157"/>
      <c r="G197" s="90"/>
      <c r="H197" s="90"/>
      <c r="I197" s="90"/>
      <c r="J197" s="90"/>
      <c r="K197" s="90"/>
    </row>
    <row r="198" spans="1:89" s="11" customFormat="1" ht="17" x14ac:dyDescent="0.2">
      <c r="A198" s="166"/>
      <c r="B198" s="100"/>
      <c r="C198" s="66" t="s">
        <v>372</v>
      </c>
      <c r="D198" s="156" t="s">
        <v>543</v>
      </c>
      <c r="E198" s="96">
        <f>6000*12*3</f>
        <v>216000</v>
      </c>
      <c r="F198" s="157"/>
      <c r="G198" s="90"/>
      <c r="H198" s="90"/>
      <c r="I198" s="90"/>
      <c r="J198" s="90"/>
      <c r="K198" s="90"/>
    </row>
    <row r="199" spans="1:89" s="11" customFormat="1" ht="17" x14ac:dyDescent="0.2">
      <c r="A199" s="166"/>
      <c r="B199" s="100"/>
      <c r="C199" s="156" t="s">
        <v>363</v>
      </c>
      <c r="D199" s="156" t="s">
        <v>373</v>
      </c>
      <c r="E199" s="96">
        <f>SUM(20*20*120)</f>
        <v>48000</v>
      </c>
      <c r="F199" s="157"/>
      <c r="G199" s="90"/>
      <c r="H199" s="90"/>
      <c r="I199" s="90"/>
      <c r="J199" s="90"/>
      <c r="K199" s="90"/>
    </row>
    <row r="200" spans="1:89" s="20" customFormat="1" ht="17" x14ac:dyDescent="0.2">
      <c r="A200" s="165"/>
      <c r="B200" s="39"/>
      <c r="C200" s="73" t="s">
        <v>0</v>
      </c>
      <c r="D200" s="40"/>
      <c r="E200" s="58"/>
      <c r="F200" s="64">
        <f>SUM(E195:E199)</f>
        <v>510200</v>
      </c>
      <c r="G200" s="145"/>
      <c r="H200" s="145"/>
      <c r="I200" s="145"/>
      <c r="J200" s="145"/>
      <c r="K200" s="14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row>
    <row r="201" spans="1:89" s="20" customFormat="1" x14ac:dyDescent="0.2">
      <c r="A201" s="165"/>
      <c r="B201" s="50"/>
      <c r="C201" s="194"/>
      <c r="D201" s="194"/>
      <c r="E201" s="194"/>
      <c r="F201" s="194"/>
      <c r="G201" s="145"/>
      <c r="H201" s="145"/>
      <c r="I201" s="145"/>
      <c r="J201" s="145"/>
      <c r="K201" s="14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row>
    <row r="202" spans="1:89" s="20" customFormat="1" ht="17" x14ac:dyDescent="0.2">
      <c r="A202" s="165"/>
      <c r="B202" s="39" t="s">
        <v>440</v>
      </c>
      <c r="C202" s="143" t="s">
        <v>441</v>
      </c>
      <c r="D202" s="40"/>
      <c r="E202" s="58"/>
      <c r="F202" s="58"/>
      <c r="G202" s="145"/>
      <c r="H202" s="145"/>
      <c r="I202" s="145"/>
      <c r="J202" s="145"/>
      <c r="K202" s="14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row>
    <row r="203" spans="1:89" s="20" customFormat="1" ht="18" customHeight="1" x14ac:dyDescent="0.2">
      <c r="A203" s="165"/>
      <c r="B203" s="137"/>
      <c r="C203" s="196" t="s">
        <v>445</v>
      </c>
      <c r="D203" s="197"/>
      <c r="E203" s="197"/>
      <c r="F203" s="197"/>
      <c r="G203" s="145"/>
      <c r="H203" s="145"/>
      <c r="I203" s="145"/>
      <c r="J203" s="145"/>
      <c r="K203" s="14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row>
    <row r="204" spans="1:89" s="11" customFormat="1" ht="17" x14ac:dyDescent="0.2">
      <c r="A204" s="166"/>
      <c r="B204" s="100"/>
      <c r="C204" s="158" t="s">
        <v>442</v>
      </c>
      <c r="D204" s="156" t="s">
        <v>525</v>
      </c>
      <c r="E204" s="96">
        <f>2000*120</f>
        <v>240000</v>
      </c>
      <c r="F204" s="96"/>
      <c r="G204" s="90"/>
      <c r="H204" s="90"/>
      <c r="I204" s="90"/>
      <c r="J204" s="90"/>
      <c r="K204" s="90"/>
    </row>
    <row r="205" spans="1:89" s="11" customFormat="1" ht="17" x14ac:dyDescent="0.2">
      <c r="A205" s="166"/>
      <c r="B205" s="100"/>
      <c r="C205" s="158" t="s">
        <v>443</v>
      </c>
      <c r="D205" s="156" t="s">
        <v>526</v>
      </c>
      <c r="E205" s="96">
        <f>120*1000</f>
        <v>120000</v>
      </c>
      <c r="F205" s="96"/>
      <c r="G205" s="90"/>
      <c r="H205" s="90"/>
      <c r="I205" s="90"/>
      <c r="J205" s="90"/>
      <c r="K205" s="90"/>
    </row>
    <row r="206" spans="1:89" s="20" customFormat="1" ht="17" x14ac:dyDescent="0.2">
      <c r="A206" s="166"/>
      <c r="B206" s="100"/>
      <c r="C206" s="158" t="s">
        <v>444</v>
      </c>
      <c r="D206" s="156" t="s">
        <v>527</v>
      </c>
      <c r="E206" s="96">
        <f>400*120</f>
        <v>48000</v>
      </c>
      <c r="F206" s="96"/>
      <c r="G206" s="145"/>
      <c r="H206" s="145"/>
      <c r="I206" s="145"/>
      <c r="J206" s="145"/>
      <c r="K206" s="14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row>
    <row r="207" spans="1:89" s="20" customFormat="1" ht="17" x14ac:dyDescent="0.2">
      <c r="A207" s="165"/>
      <c r="B207" s="39"/>
      <c r="C207" s="73" t="s">
        <v>0</v>
      </c>
      <c r="D207" s="40"/>
      <c r="E207" s="58"/>
      <c r="F207" s="64">
        <f>SUM(E204:E206)</f>
        <v>408000</v>
      </c>
      <c r="G207" s="145"/>
      <c r="H207" s="145"/>
      <c r="I207" s="145"/>
      <c r="J207" s="145"/>
      <c r="K207" s="14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row>
    <row r="208" spans="1:89" x14ac:dyDescent="0.2">
      <c r="B208" s="50"/>
      <c r="C208" s="194"/>
      <c r="D208" s="194"/>
      <c r="E208" s="194"/>
      <c r="F208" s="194"/>
      <c r="G208" s="145"/>
      <c r="H208" s="145"/>
      <c r="I208" s="145"/>
      <c r="J208" s="145"/>
      <c r="K208" s="145"/>
    </row>
    <row r="209" spans="1:89" ht="17" x14ac:dyDescent="0.2">
      <c r="B209" s="39" t="s">
        <v>491</v>
      </c>
      <c r="C209" s="143" t="s">
        <v>215</v>
      </c>
      <c r="D209" s="40"/>
      <c r="E209" s="58"/>
      <c r="F209" s="58"/>
      <c r="G209" s="145"/>
      <c r="H209" s="145"/>
      <c r="I209" s="145"/>
      <c r="J209" s="145"/>
      <c r="K209" s="145"/>
    </row>
    <row r="210" spans="1:89" ht="22" customHeight="1" x14ac:dyDescent="0.2">
      <c r="B210" s="50"/>
      <c r="C210" s="196" t="s">
        <v>357</v>
      </c>
      <c r="D210" s="197"/>
      <c r="E210" s="197"/>
      <c r="F210" s="197"/>
      <c r="G210" s="145"/>
      <c r="H210" s="145"/>
      <c r="I210" s="145"/>
      <c r="J210" s="145"/>
      <c r="K210" s="145"/>
    </row>
    <row r="211" spans="1:89" s="11" customFormat="1" ht="17" x14ac:dyDescent="0.2">
      <c r="A211" s="166"/>
      <c r="B211" s="100"/>
      <c r="C211" s="158" t="s">
        <v>359</v>
      </c>
      <c r="D211" s="156" t="s">
        <v>584</v>
      </c>
      <c r="E211" s="96">
        <f>4500*120</f>
        <v>540000</v>
      </c>
      <c r="F211" s="96"/>
      <c r="G211" s="90"/>
      <c r="H211" s="90"/>
      <c r="I211" s="90"/>
      <c r="J211" s="90"/>
      <c r="K211" s="90"/>
    </row>
    <row r="212" spans="1:89" s="11" customFormat="1" ht="17" x14ac:dyDescent="0.2">
      <c r="A212" s="166"/>
      <c r="B212" s="100"/>
      <c r="C212" s="158" t="s">
        <v>286</v>
      </c>
      <c r="D212" s="156" t="s">
        <v>547</v>
      </c>
      <c r="E212" s="96">
        <f>800000+176600</f>
        <v>976600</v>
      </c>
      <c r="F212" s="96"/>
      <c r="G212" s="90"/>
      <c r="H212" s="90"/>
      <c r="I212" s="90"/>
      <c r="J212" s="90"/>
      <c r="K212" s="90"/>
    </row>
    <row r="213" spans="1:89" ht="17" x14ac:dyDescent="0.2">
      <c r="B213" s="39"/>
      <c r="C213" s="73" t="s">
        <v>0</v>
      </c>
      <c r="D213" s="40"/>
      <c r="E213" s="58"/>
      <c r="F213" s="64">
        <f>SUM(E211:E212)</f>
        <v>1516600</v>
      </c>
      <c r="G213" s="145"/>
      <c r="H213" s="145"/>
      <c r="I213" s="145"/>
      <c r="J213" s="145"/>
      <c r="K213" s="145"/>
    </row>
    <row r="214" spans="1:89" x14ac:dyDescent="0.2">
      <c r="B214" s="147"/>
      <c r="C214" s="147"/>
      <c r="D214" s="147"/>
      <c r="E214" s="83"/>
      <c r="F214" s="83"/>
      <c r="G214" s="145"/>
      <c r="H214" s="145"/>
      <c r="I214" s="145"/>
      <c r="J214" s="145"/>
      <c r="K214" s="145"/>
    </row>
    <row r="215" spans="1:89" ht="17" x14ac:dyDescent="0.2">
      <c r="B215" s="39"/>
      <c r="C215" s="40"/>
      <c r="D215" s="54" t="s">
        <v>33</v>
      </c>
      <c r="E215" s="84"/>
      <c r="F215" s="56">
        <f>SUM(F213,F207,F200,F191,F186,F178,F169,F161,F155,F146,F137,F123,F104,F77,F58,F48)</f>
        <v>45978400</v>
      </c>
      <c r="G215" s="56" t="e">
        <f>SUM(G48+G58+G77+G104+G123+G137+G146+G155+G161+G169+G178+#REF!+G186+#REF!+G191+G200+G207+G213)</f>
        <v>#REF!</v>
      </c>
      <c r="H215" s="56" t="e">
        <f>SUM(H48+H58+H77+H104+H123+H137+H146+H155+H161+H169+H178+#REF!+H186+#REF!+H191+H200+H207+H213)</f>
        <v>#REF!</v>
      </c>
      <c r="I215" s="56" t="e">
        <f>SUM(I48+I58+I77+I104+I123+I137+I146+I155+I161+I169+I178+#REF!+I186+#REF!+I191+I200+I207+I213)</f>
        <v>#REF!</v>
      </c>
      <c r="J215" s="56" t="e">
        <f>SUM(J48+J58+J77+J104+J123+J137+J146+J155+J161+J169+J178+#REF!+J186+#REF!+J191+J200+J207+J213)</f>
        <v>#REF!</v>
      </c>
      <c r="K215" s="56" t="e">
        <f>SUM(K48+K58+K77+K104+K123+K137+K146+K155+K161+K169+K178+#REF!+K186+#REF!+K191+K200+K207+K213)</f>
        <v>#REF!</v>
      </c>
    </row>
    <row r="216" spans="1:89" s="20" customFormat="1" x14ac:dyDescent="0.2">
      <c r="A216" s="165"/>
      <c r="B216" s="147"/>
      <c r="C216" s="147"/>
      <c r="D216" s="147"/>
      <c r="E216" s="83"/>
      <c r="F216" s="83"/>
      <c r="G216" s="145"/>
      <c r="H216" s="145"/>
      <c r="I216" s="145"/>
      <c r="J216" s="145"/>
      <c r="K216" s="14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row>
    <row r="217" spans="1:89" s="16" customFormat="1" ht="17" x14ac:dyDescent="0.2">
      <c r="A217" s="165"/>
      <c r="B217" s="39">
        <v>3</v>
      </c>
      <c r="C217" s="57" t="s">
        <v>352</v>
      </c>
      <c r="D217" s="40"/>
      <c r="E217" s="58"/>
      <c r="F217" s="58"/>
      <c r="G217" s="47"/>
      <c r="H217" s="47"/>
      <c r="I217" s="47"/>
      <c r="J217" s="47"/>
      <c r="K217" s="47"/>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row>
    <row r="218" spans="1:89" s="16" customFormat="1" x14ac:dyDescent="0.2">
      <c r="A218" s="165"/>
      <c r="B218" s="39"/>
      <c r="C218" s="85"/>
      <c r="D218" s="41"/>
      <c r="E218" s="61"/>
      <c r="F218" s="61"/>
      <c r="G218" s="47"/>
      <c r="H218" s="47"/>
      <c r="I218" s="47"/>
      <c r="J218" s="47"/>
      <c r="K218" s="47"/>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row>
    <row r="219" spans="1:89" s="16" customFormat="1" ht="17" x14ac:dyDescent="0.2">
      <c r="A219" s="165"/>
      <c r="B219" s="39" t="s">
        <v>446</v>
      </c>
      <c r="C219" s="144" t="s">
        <v>237</v>
      </c>
      <c r="D219" s="41"/>
      <c r="E219" s="61"/>
      <c r="F219" s="61"/>
      <c r="G219" s="47"/>
      <c r="H219" s="47"/>
      <c r="I219" s="47"/>
      <c r="J219" s="47"/>
      <c r="K219" s="47"/>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row>
    <row r="220" spans="1:89" s="16" customFormat="1" ht="51" customHeight="1" x14ac:dyDescent="0.2">
      <c r="A220" s="165"/>
      <c r="B220" s="50"/>
      <c r="C220" s="213" t="s">
        <v>203</v>
      </c>
      <c r="D220" s="213"/>
      <c r="E220" s="213"/>
      <c r="F220" s="213"/>
      <c r="G220" s="47"/>
      <c r="H220" s="47"/>
      <c r="I220" s="47"/>
      <c r="J220" s="47"/>
      <c r="K220" s="47"/>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row>
    <row r="221" spans="1:89" s="11" customFormat="1" ht="17" x14ac:dyDescent="0.2">
      <c r="A221" s="166"/>
      <c r="B221" s="100"/>
      <c r="C221" s="66" t="s">
        <v>227</v>
      </c>
      <c r="D221" s="156"/>
      <c r="E221" s="162">
        <v>1200000</v>
      </c>
      <c r="F221" s="96"/>
      <c r="G221" s="90"/>
      <c r="H221" s="90"/>
      <c r="I221" s="90"/>
      <c r="J221" s="90"/>
      <c r="K221" s="90"/>
    </row>
    <row r="222" spans="1:89" s="16" customFormat="1" ht="17" x14ac:dyDescent="0.2">
      <c r="A222" s="165"/>
      <c r="B222" s="39"/>
      <c r="C222" s="73" t="s">
        <v>0</v>
      </c>
      <c r="D222" s="40"/>
      <c r="E222" s="61"/>
      <c r="F222" s="64">
        <f>E221</f>
        <v>1200000</v>
      </c>
      <c r="G222" s="47"/>
      <c r="H222" s="47"/>
      <c r="I222" s="47"/>
      <c r="J222" s="47"/>
      <c r="K222" s="47"/>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row>
    <row r="223" spans="1:89" s="16" customFormat="1" x14ac:dyDescent="0.2">
      <c r="A223" s="165"/>
      <c r="B223" s="50"/>
      <c r="C223" s="50"/>
      <c r="D223" s="51"/>
      <c r="E223" s="60"/>
      <c r="F223" s="53"/>
      <c r="G223" s="47"/>
      <c r="H223" s="47"/>
      <c r="I223" s="47"/>
      <c r="J223" s="47"/>
      <c r="K223" s="47"/>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row>
    <row r="224" spans="1:89" s="16" customFormat="1" ht="17" x14ac:dyDescent="0.2">
      <c r="A224" s="165"/>
      <c r="B224" s="39" t="s">
        <v>447</v>
      </c>
      <c r="C224" s="144" t="s">
        <v>240</v>
      </c>
      <c r="D224" s="47"/>
      <c r="E224" s="43"/>
      <c r="F224" s="30"/>
      <c r="G224" s="145"/>
      <c r="H224" s="145"/>
      <c r="I224" s="145"/>
      <c r="J224" s="145"/>
      <c r="K224" s="14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row>
    <row r="225" spans="1:89" s="16" customFormat="1" ht="49" customHeight="1" x14ac:dyDescent="0.2">
      <c r="A225" s="165"/>
      <c r="B225" s="50"/>
      <c r="C225" s="202" t="s">
        <v>487</v>
      </c>
      <c r="D225" s="202"/>
      <c r="E225" s="202"/>
      <c r="F225" s="202"/>
      <c r="G225" s="145"/>
      <c r="H225" s="145"/>
      <c r="I225" s="145"/>
      <c r="J225" s="145"/>
      <c r="K225" s="14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row>
    <row r="226" spans="1:89" s="11" customFormat="1" ht="17" x14ac:dyDescent="0.2">
      <c r="A226" s="166"/>
      <c r="B226" s="100"/>
      <c r="C226" s="66" t="s">
        <v>187</v>
      </c>
      <c r="D226" s="156" t="s">
        <v>573</v>
      </c>
      <c r="E226" s="159">
        <f>25000*2</f>
        <v>50000</v>
      </c>
      <c r="F226" s="160"/>
      <c r="G226" s="90"/>
      <c r="H226" s="90"/>
      <c r="I226" s="90"/>
      <c r="J226" s="90"/>
      <c r="K226" s="90"/>
    </row>
    <row r="227" spans="1:89" s="11" customFormat="1" ht="17" x14ac:dyDescent="0.2">
      <c r="A227" s="166"/>
      <c r="B227" s="100"/>
      <c r="C227" s="66" t="s">
        <v>188</v>
      </c>
      <c r="D227" s="156" t="s">
        <v>554</v>
      </c>
      <c r="E227" s="159">
        <v>20000</v>
      </c>
      <c r="F227" s="160"/>
      <c r="G227" s="90"/>
      <c r="H227" s="90"/>
      <c r="I227" s="90"/>
      <c r="J227" s="90"/>
      <c r="K227" s="90"/>
    </row>
    <row r="228" spans="1:89" s="11" customFormat="1" ht="17" x14ac:dyDescent="0.2">
      <c r="A228" s="166"/>
      <c r="B228" s="100"/>
      <c r="C228" s="66" t="s">
        <v>189</v>
      </c>
      <c r="D228" s="156"/>
      <c r="E228" s="159">
        <v>20000</v>
      </c>
      <c r="F228" s="160"/>
      <c r="G228" s="90"/>
      <c r="H228" s="90"/>
      <c r="I228" s="90"/>
      <c r="J228" s="90"/>
      <c r="K228" s="90"/>
    </row>
    <row r="229" spans="1:89" s="11" customFormat="1" ht="17" x14ac:dyDescent="0.2">
      <c r="A229" s="166"/>
      <c r="B229" s="100"/>
      <c r="C229" s="66" t="s">
        <v>190</v>
      </c>
      <c r="D229" s="156"/>
      <c r="E229" s="159">
        <v>30000</v>
      </c>
      <c r="F229" s="160"/>
      <c r="G229" s="90"/>
      <c r="H229" s="90"/>
      <c r="I229" s="90"/>
      <c r="J229" s="90"/>
      <c r="K229" s="90"/>
    </row>
    <row r="230" spans="1:89" s="11" customFormat="1" ht="17" x14ac:dyDescent="0.2">
      <c r="A230" s="166"/>
      <c r="B230" s="100"/>
      <c r="C230" s="66" t="s">
        <v>191</v>
      </c>
      <c r="D230" s="156" t="s">
        <v>379</v>
      </c>
      <c r="E230" s="159">
        <v>18000</v>
      </c>
      <c r="F230" s="160"/>
      <c r="G230" s="90"/>
      <c r="H230" s="90"/>
      <c r="I230" s="90"/>
      <c r="J230" s="90"/>
      <c r="K230" s="90"/>
    </row>
    <row r="231" spans="1:89" s="11" customFormat="1" ht="17" x14ac:dyDescent="0.2">
      <c r="A231" s="166"/>
      <c r="B231" s="100"/>
      <c r="C231" s="66" t="s">
        <v>192</v>
      </c>
      <c r="D231" s="156" t="s">
        <v>242</v>
      </c>
      <c r="E231" s="159">
        <f>6400*10*8</f>
        <v>512000</v>
      </c>
      <c r="F231" s="160"/>
      <c r="G231" s="90"/>
      <c r="H231" s="90"/>
      <c r="I231" s="90"/>
      <c r="J231" s="90"/>
      <c r="K231" s="90"/>
    </row>
    <row r="232" spans="1:89" s="11" customFormat="1" ht="17" x14ac:dyDescent="0.2">
      <c r="A232" s="166"/>
      <c r="B232" s="100"/>
      <c r="C232" s="66" t="s">
        <v>9</v>
      </c>
      <c r="D232" s="156" t="s">
        <v>261</v>
      </c>
      <c r="E232" s="159">
        <f>2100*8*10</f>
        <v>168000</v>
      </c>
      <c r="F232" s="160"/>
      <c r="G232" s="90"/>
      <c r="H232" s="90"/>
      <c r="I232" s="90"/>
      <c r="J232" s="90"/>
      <c r="K232" s="90"/>
    </row>
    <row r="233" spans="1:89" s="11" customFormat="1" ht="17" x14ac:dyDescent="0.2">
      <c r="A233" s="166"/>
      <c r="B233" s="100"/>
      <c r="C233" s="66" t="s">
        <v>193</v>
      </c>
      <c r="D233" s="156" t="s">
        <v>380</v>
      </c>
      <c r="E233" s="159">
        <v>6000</v>
      </c>
      <c r="F233" s="160"/>
      <c r="G233" s="90"/>
      <c r="H233" s="90"/>
      <c r="I233" s="90"/>
      <c r="J233" s="90"/>
      <c r="K233" s="90"/>
    </row>
    <row r="234" spans="1:89" s="11" customFormat="1" ht="17" x14ac:dyDescent="0.2">
      <c r="A234" s="166"/>
      <c r="B234" s="100"/>
      <c r="C234" s="66" t="s">
        <v>194</v>
      </c>
      <c r="D234" s="156" t="s">
        <v>381</v>
      </c>
      <c r="E234" s="159">
        <v>6000</v>
      </c>
      <c r="F234" s="160"/>
      <c r="G234" s="90"/>
      <c r="H234" s="90"/>
      <c r="I234" s="90"/>
      <c r="J234" s="90"/>
      <c r="K234" s="90"/>
    </row>
    <row r="235" spans="1:89" s="11" customFormat="1" ht="17" x14ac:dyDescent="0.2">
      <c r="A235" s="166"/>
      <c r="B235" s="100"/>
      <c r="C235" s="66" t="s">
        <v>195</v>
      </c>
      <c r="D235" s="156" t="s">
        <v>382</v>
      </c>
      <c r="E235" s="159">
        <v>15000</v>
      </c>
      <c r="F235" s="160"/>
      <c r="G235" s="90"/>
      <c r="H235" s="90"/>
      <c r="I235" s="90"/>
      <c r="J235" s="90"/>
      <c r="K235" s="90"/>
    </row>
    <row r="236" spans="1:89" s="16" customFormat="1" ht="17" x14ac:dyDescent="0.2">
      <c r="A236" s="165"/>
      <c r="B236" s="39"/>
      <c r="C236" s="73" t="s">
        <v>0</v>
      </c>
      <c r="D236" s="145"/>
      <c r="E236" s="21"/>
      <c r="F236" s="64">
        <f>SUM(E226:E235)</f>
        <v>845000</v>
      </c>
      <c r="G236" s="145"/>
      <c r="H236" s="145"/>
      <c r="I236" s="145"/>
      <c r="J236" s="145"/>
      <c r="K236" s="14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row>
    <row r="237" spans="1:89" s="16" customFormat="1" x14ac:dyDescent="0.2">
      <c r="A237" s="165"/>
      <c r="B237" s="50"/>
      <c r="C237" s="201"/>
      <c r="D237" s="201"/>
      <c r="E237" s="201"/>
      <c r="F237" s="201"/>
      <c r="G237" s="145"/>
      <c r="H237" s="145"/>
      <c r="I237" s="145"/>
      <c r="J237" s="145"/>
      <c r="K237" s="14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row>
    <row r="238" spans="1:89" s="16" customFormat="1" ht="17" x14ac:dyDescent="0.2">
      <c r="A238" s="165"/>
      <c r="B238" s="39" t="s">
        <v>448</v>
      </c>
      <c r="C238" s="144" t="s">
        <v>243</v>
      </c>
      <c r="D238" s="47"/>
      <c r="E238" s="43"/>
      <c r="F238" s="30"/>
      <c r="G238" s="145"/>
      <c r="H238" s="145"/>
      <c r="I238" s="145"/>
      <c r="J238" s="145"/>
      <c r="K238" s="14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row>
    <row r="239" spans="1:89" s="16" customFormat="1" ht="73" customHeight="1" x14ac:dyDescent="0.2">
      <c r="A239" s="165"/>
      <c r="B239" s="50"/>
      <c r="C239" s="202" t="s">
        <v>488</v>
      </c>
      <c r="D239" s="202"/>
      <c r="E239" s="202"/>
      <c r="F239" s="202"/>
      <c r="G239" s="145"/>
      <c r="H239" s="145"/>
      <c r="I239" s="145"/>
      <c r="J239" s="145"/>
      <c r="K239" s="14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row>
    <row r="240" spans="1:89" s="11" customFormat="1" ht="17" x14ac:dyDescent="0.2">
      <c r="A240" s="166"/>
      <c r="B240" s="100"/>
      <c r="C240" s="66" t="s">
        <v>187</v>
      </c>
      <c r="D240" s="156" t="s">
        <v>548</v>
      </c>
      <c r="E240" s="159">
        <v>60000</v>
      </c>
      <c r="F240" s="160"/>
      <c r="G240" s="90"/>
      <c r="H240" s="90"/>
      <c r="I240" s="90"/>
      <c r="J240" s="90"/>
      <c r="K240" s="90"/>
    </row>
    <row r="241" spans="1:89" s="11" customFormat="1" ht="17" x14ac:dyDescent="0.2">
      <c r="A241" s="166"/>
      <c r="B241" s="100"/>
      <c r="C241" s="66" t="s">
        <v>188</v>
      </c>
      <c r="D241" s="156" t="s">
        <v>378</v>
      </c>
      <c r="E241" s="159">
        <v>30000</v>
      </c>
      <c r="F241" s="160"/>
      <c r="G241" s="90"/>
      <c r="H241" s="90"/>
      <c r="I241" s="90"/>
      <c r="J241" s="90"/>
      <c r="K241" s="90"/>
    </row>
    <row r="242" spans="1:89" s="11" customFormat="1" ht="17" x14ac:dyDescent="0.2">
      <c r="A242" s="166"/>
      <c r="B242" s="100"/>
      <c r="C242" s="66" t="s">
        <v>189</v>
      </c>
      <c r="D242" s="156"/>
      <c r="E242" s="159">
        <v>20000</v>
      </c>
      <c r="F242" s="160"/>
      <c r="G242" s="90"/>
      <c r="H242" s="90"/>
      <c r="I242" s="90"/>
      <c r="J242" s="90"/>
      <c r="K242" s="90"/>
    </row>
    <row r="243" spans="1:89" s="11" customFormat="1" ht="17" x14ac:dyDescent="0.2">
      <c r="A243" s="166"/>
      <c r="B243" s="100"/>
      <c r="C243" s="66" t="s">
        <v>190</v>
      </c>
      <c r="D243" s="156"/>
      <c r="E243" s="159">
        <v>30000</v>
      </c>
      <c r="F243" s="160"/>
      <c r="G243" s="90"/>
      <c r="H243" s="90"/>
      <c r="I243" s="90"/>
      <c r="J243" s="90"/>
      <c r="K243" s="90"/>
    </row>
    <row r="244" spans="1:89" s="11" customFormat="1" ht="17" x14ac:dyDescent="0.2">
      <c r="A244" s="166"/>
      <c r="B244" s="100"/>
      <c r="C244" s="66" t="s">
        <v>191</v>
      </c>
      <c r="D244" s="156" t="s">
        <v>379</v>
      </c>
      <c r="E244" s="159">
        <v>18000</v>
      </c>
      <c r="F244" s="160"/>
      <c r="G244" s="90"/>
      <c r="H244" s="90"/>
      <c r="I244" s="90"/>
      <c r="J244" s="90"/>
      <c r="K244" s="90"/>
    </row>
    <row r="245" spans="1:89" s="11" customFormat="1" ht="17" x14ac:dyDescent="0.2">
      <c r="A245" s="166"/>
      <c r="B245" s="100"/>
      <c r="C245" s="66" t="s">
        <v>193</v>
      </c>
      <c r="D245" s="156" t="s">
        <v>380</v>
      </c>
      <c r="E245" s="159">
        <v>6000</v>
      </c>
      <c r="F245" s="160"/>
      <c r="G245" s="90"/>
      <c r="H245" s="90"/>
      <c r="I245" s="90"/>
      <c r="J245" s="90"/>
      <c r="K245" s="90"/>
    </row>
    <row r="246" spans="1:89" s="11" customFormat="1" ht="17" x14ac:dyDescent="0.2">
      <c r="A246" s="166"/>
      <c r="B246" s="100"/>
      <c r="C246" s="66" t="s">
        <v>194</v>
      </c>
      <c r="D246" s="156" t="s">
        <v>381</v>
      </c>
      <c r="E246" s="159">
        <v>6000</v>
      </c>
      <c r="F246" s="160"/>
      <c r="G246" s="90"/>
      <c r="H246" s="90"/>
      <c r="I246" s="90"/>
      <c r="J246" s="90"/>
      <c r="K246" s="90"/>
    </row>
    <row r="247" spans="1:89" s="11" customFormat="1" ht="17" x14ac:dyDescent="0.2">
      <c r="A247" s="166"/>
      <c r="B247" s="100"/>
      <c r="C247" s="66" t="s">
        <v>195</v>
      </c>
      <c r="D247" s="156" t="s">
        <v>382</v>
      </c>
      <c r="E247" s="159">
        <v>15000</v>
      </c>
      <c r="F247" s="160"/>
      <c r="G247" s="90"/>
      <c r="H247" s="90"/>
      <c r="I247" s="90"/>
      <c r="J247" s="90"/>
      <c r="K247" s="90"/>
    </row>
    <row r="248" spans="1:89" s="16" customFormat="1" ht="17" x14ac:dyDescent="0.2">
      <c r="A248" s="165"/>
      <c r="B248" s="39"/>
      <c r="C248" s="73" t="s">
        <v>0</v>
      </c>
      <c r="D248" s="145"/>
      <c r="E248" s="21"/>
      <c r="F248" s="64">
        <f>SUM(E240:E247)</f>
        <v>185000</v>
      </c>
      <c r="G248" s="145"/>
      <c r="H248" s="145"/>
      <c r="I248" s="145"/>
      <c r="J248" s="145"/>
      <c r="K248" s="14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row>
    <row r="249" spans="1:89" s="16" customFormat="1" x14ac:dyDescent="0.2">
      <c r="A249" s="165"/>
      <c r="B249" s="50"/>
      <c r="C249" s="201"/>
      <c r="D249" s="201"/>
      <c r="E249" s="201"/>
      <c r="F249" s="201"/>
      <c r="G249" s="145"/>
      <c r="H249" s="145"/>
      <c r="I249" s="145"/>
      <c r="J249" s="145"/>
      <c r="K249" s="14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row>
    <row r="250" spans="1:89" s="16" customFormat="1" ht="17" x14ac:dyDescent="0.2">
      <c r="A250" s="165"/>
      <c r="B250" s="39" t="s">
        <v>449</v>
      </c>
      <c r="C250" s="144" t="s">
        <v>259</v>
      </c>
      <c r="D250" s="47"/>
      <c r="E250" s="43"/>
      <c r="F250" s="30"/>
      <c r="G250" s="145"/>
      <c r="H250" s="145"/>
      <c r="I250" s="145"/>
      <c r="J250" s="145"/>
      <c r="K250" s="14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row>
    <row r="251" spans="1:89" s="16" customFormat="1" ht="57" customHeight="1" x14ac:dyDescent="0.2">
      <c r="A251" s="165"/>
      <c r="B251" s="50"/>
      <c r="C251" s="202" t="s">
        <v>260</v>
      </c>
      <c r="D251" s="202"/>
      <c r="E251" s="202"/>
      <c r="F251" s="202"/>
      <c r="G251" s="145"/>
      <c r="H251" s="145"/>
      <c r="I251" s="145"/>
      <c r="J251" s="145"/>
      <c r="K251" s="14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row>
    <row r="252" spans="1:89" s="11" customFormat="1" ht="17" x14ac:dyDescent="0.2">
      <c r="A252" s="166"/>
      <c r="B252" s="100"/>
      <c r="C252" s="66" t="s">
        <v>187</v>
      </c>
      <c r="D252" s="156" t="s">
        <v>549</v>
      </c>
      <c r="E252" s="159">
        <v>60000</v>
      </c>
      <c r="F252" s="160"/>
      <c r="G252" s="90"/>
      <c r="H252" s="90"/>
      <c r="I252" s="90"/>
      <c r="J252" s="90"/>
      <c r="K252" s="90"/>
    </row>
    <row r="253" spans="1:89" s="11" customFormat="1" ht="17" x14ac:dyDescent="0.2">
      <c r="A253" s="166"/>
      <c r="B253" s="100"/>
      <c r="C253" s="66" t="s">
        <v>188</v>
      </c>
      <c r="D253" s="156" t="s">
        <v>241</v>
      </c>
      <c r="E253" s="159">
        <v>50000</v>
      </c>
      <c r="F253" s="160"/>
      <c r="G253" s="90"/>
      <c r="H253" s="90"/>
      <c r="I253" s="90"/>
      <c r="J253" s="90"/>
      <c r="K253" s="90"/>
    </row>
    <row r="254" spans="1:89" s="11" customFormat="1" ht="17" x14ac:dyDescent="0.2">
      <c r="A254" s="166"/>
      <c r="B254" s="100"/>
      <c r="C254" s="66" t="s">
        <v>189</v>
      </c>
      <c r="D254" s="156"/>
      <c r="E254" s="159">
        <v>20000</v>
      </c>
      <c r="F254" s="160"/>
      <c r="G254" s="90"/>
      <c r="H254" s="90"/>
      <c r="I254" s="90"/>
      <c r="J254" s="90"/>
      <c r="K254" s="90"/>
    </row>
    <row r="255" spans="1:89" s="11" customFormat="1" ht="17" x14ac:dyDescent="0.2">
      <c r="A255" s="166"/>
      <c r="B255" s="100"/>
      <c r="C255" s="66" t="s">
        <v>190</v>
      </c>
      <c r="D255" s="156"/>
      <c r="E255" s="159">
        <v>40000</v>
      </c>
      <c r="F255" s="160"/>
      <c r="G255" s="90"/>
      <c r="H255" s="90"/>
      <c r="I255" s="90"/>
      <c r="J255" s="90"/>
      <c r="K255" s="90"/>
    </row>
    <row r="256" spans="1:89" s="11" customFormat="1" ht="17" x14ac:dyDescent="0.2">
      <c r="A256" s="166"/>
      <c r="B256" s="100"/>
      <c r="C256" s="66" t="s">
        <v>191</v>
      </c>
      <c r="D256" s="156" t="s">
        <v>374</v>
      </c>
      <c r="E256" s="159">
        <v>12000</v>
      </c>
      <c r="F256" s="160"/>
      <c r="G256" s="90"/>
      <c r="H256" s="90"/>
      <c r="I256" s="90"/>
      <c r="J256" s="90"/>
      <c r="K256" s="90"/>
    </row>
    <row r="257" spans="1:89" s="16" customFormat="1" ht="17" x14ac:dyDescent="0.2">
      <c r="A257" s="166"/>
      <c r="B257" s="100"/>
      <c r="C257" s="66" t="s">
        <v>262</v>
      </c>
      <c r="D257" s="156" t="s">
        <v>263</v>
      </c>
      <c r="E257" s="159">
        <v>1000000</v>
      </c>
      <c r="F257" s="160"/>
      <c r="G257" s="145"/>
      <c r="H257" s="145"/>
      <c r="I257" s="145"/>
      <c r="J257" s="145"/>
      <c r="K257" s="14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row>
    <row r="258" spans="1:89" s="16" customFormat="1" ht="17" x14ac:dyDescent="0.2">
      <c r="A258" s="166"/>
      <c r="B258" s="100"/>
      <c r="C258" s="66" t="s">
        <v>192</v>
      </c>
      <c r="D258" s="156" t="s">
        <v>265</v>
      </c>
      <c r="E258" s="159">
        <v>100000</v>
      </c>
      <c r="F258" s="160"/>
      <c r="G258" s="145"/>
      <c r="H258" s="145"/>
      <c r="I258" s="145"/>
      <c r="J258" s="145"/>
      <c r="K258" s="14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row>
    <row r="259" spans="1:89" s="16" customFormat="1" ht="17" x14ac:dyDescent="0.2">
      <c r="A259" s="166"/>
      <c r="B259" s="100"/>
      <c r="C259" s="66" t="s">
        <v>9</v>
      </c>
      <c r="D259" s="156" t="s">
        <v>264</v>
      </c>
      <c r="E259" s="159">
        <f>2100*10*10</f>
        <v>210000</v>
      </c>
      <c r="F259" s="160"/>
      <c r="G259" s="145"/>
      <c r="H259" s="145"/>
      <c r="I259" s="145"/>
      <c r="J259" s="145"/>
      <c r="K259" s="14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row>
    <row r="260" spans="1:89" s="16" customFormat="1" ht="17" x14ac:dyDescent="0.2">
      <c r="A260" s="165"/>
      <c r="B260" s="39"/>
      <c r="C260" s="73" t="s">
        <v>0</v>
      </c>
      <c r="D260" s="145"/>
      <c r="E260" s="21"/>
      <c r="F260" s="64">
        <f>SUM(E252:E259)</f>
        <v>1492000</v>
      </c>
      <c r="G260" s="145"/>
      <c r="H260" s="145"/>
      <c r="I260" s="145"/>
      <c r="J260" s="145"/>
      <c r="K260" s="14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row>
    <row r="261" spans="1:89" s="16" customFormat="1" x14ac:dyDescent="0.2">
      <c r="A261" s="165"/>
      <c r="B261" s="50"/>
      <c r="C261" s="142"/>
      <c r="D261" s="142"/>
      <c r="E261" s="142"/>
      <c r="F261" s="142"/>
      <c r="G261" s="145"/>
      <c r="H261" s="145"/>
      <c r="I261" s="145"/>
      <c r="J261" s="145"/>
      <c r="K261" s="14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row>
    <row r="262" spans="1:89" s="16" customFormat="1" ht="17" x14ac:dyDescent="0.2">
      <c r="A262" s="165"/>
      <c r="B262" s="39" t="s">
        <v>450</v>
      </c>
      <c r="C262" s="86" t="s">
        <v>244</v>
      </c>
      <c r="D262" s="87"/>
      <c r="E262" s="87"/>
      <c r="F262" s="87"/>
      <c r="G262" s="145"/>
      <c r="H262" s="145"/>
      <c r="I262" s="145"/>
      <c r="J262" s="145"/>
      <c r="K262" s="14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row>
    <row r="263" spans="1:89" s="16" customFormat="1" ht="34.25" customHeight="1" x14ac:dyDescent="0.2">
      <c r="A263" s="165"/>
      <c r="B263" s="130"/>
      <c r="C263" s="196" t="s">
        <v>482</v>
      </c>
      <c r="D263" s="196"/>
      <c r="E263" s="196"/>
      <c r="F263" s="196"/>
      <c r="G263" s="145"/>
      <c r="H263" s="145"/>
      <c r="I263" s="145"/>
      <c r="J263" s="145"/>
      <c r="K263" s="14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row>
    <row r="264" spans="1:89" s="11" customFormat="1" ht="17" x14ac:dyDescent="0.2">
      <c r="A264" s="166"/>
      <c r="B264" s="100"/>
      <c r="C264" s="66" t="s">
        <v>249</v>
      </c>
      <c r="D264" s="156" t="s">
        <v>246</v>
      </c>
      <c r="E264" s="159">
        <f>3000*50</f>
        <v>150000</v>
      </c>
      <c r="F264" s="160"/>
      <c r="G264" s="90"/>
      <c r="H264" s="90"/>
      <c r="I264" s="90"/>
      <c r="J264" s="90"/>
      <c r="K264" s="90"/>
    </row>
    <row r="265" spans="1:89" s="11" customFormat="1" ht="17" x14ac:dyDescent="0.2">
      <c r="A265" s="166"/>
      <c r="B265" s="100"/>
      <c r="C265" s="66" t="s">
        <v>247</v>
      </c>
      <c r="D265" s="156" t="s">
        <v>248</v>
      </c>
      <c r="E265" s="159">
        <v>105000</v>
      </c>
      <c r="F265" s="160"/>
      <c r="G265" s="90"/>
      <c r="H265" s="90"/>
      <c r="I265" s="90"/>
      <c r="J265" s="90"/>
      <c r="K265" s="90"/>
    </row>
    <row r="266" spans="1:89" s="11" customFormat="1" ht="17" x14ac:dyDescent="0.2">
      <c r="A266" s="166"/>
      <c r="B266" s="100"/>
      <c r="C266" s="66" t="s">
        <v>245</v>
      </c>
      <c r="D266" s="156" t="s">
        <v>250</v>
      </c>
      <c r="E266" s="159">
        <f>5000*53</f>
        <v>265000</v>
      </c>
      <c r="F266" s="160"/>
      <c r="G266" s="90"/>
      <c r="H266" s="90"/>
      <c r="I266" s="90"/>
      <c r="J266" s="90"/>
      <c r="K266" s="90"/>
    </row>
    <row r="267" spans="1:89" s="16" customFormat="1" ht="17" x14ac:dyDescent="0.2">
      <c r="A267" s="165"/>
      <c r="B267" s="39"/>
      <c r="C267" s="73" t="s">
        <v>0</v>
      </c>
      <c r="D267" s="145"/>
      <c r="E267" s="21"/>
      <c r="F267" s="64">
        <f>SUM(E264:E266)</f>
        <v>520000</v>
      </c>
      <c r="G267" s="145"/>
      <c r="H267" s="145"/>
      <c r="I267" s="145"/>
      <c r="J267" s="145"/>
      <c r="K267" s="14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row>
    <row r="268" spans="1:89" s="16" customFormat="1" x14ac:dyDescent="0.2">
      <c r="A268" s="165"/>
      <c r="B268" s="130"/>
      <c r="C268" s="142"/>
      <c r="D268" s="142"/>
      <c r="E268" s="142"/>
      <c r="F268" s="142"/>
      <c r="G268" s="145"/>
      <c r="H268" s="145"/>
      <c r="I268" s="145"/>
      <c r="J268" s="145"/>
      <c r="K268" s="14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row>
    <row r="269" spans="1:89" s="11" customFormat="1" ht="17" x14ac:dyDescent="0.2">
      <c r="A269" s="165"/>
      <c r="B269" s="100" t="s">
        <v>451</v>
      </c>
      <c r="C269" s="88" t="s">
        <v>271</v>
      </c>
      <c r="D269" s="89"/>
      <c r="E269" s="89"/>
      <c r="F269" s="89"/>
      <c r="G269" s="90"/>
      <c r="H269" s="90"/>
      <c r="I269" s="90"/>
      <c r="J269" s="90"/>
      <c r="K269" s="90"/>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row>
    <row r="270" spans="1:89" s="11" customFormat="1" ht="27" customHeight="1" x14ac:dyDescent="0.2">
      <c r="A270" s="165"/>
      <c r="B270" s="142"/>
      <c r="C270" s="196" t="s">
        <v>273</v>
      </c>
      <c r="D270" s="196"/>
      <c r="E270" s="196"/>
      <c r="F270" s="196"/>
      <c r="G270" s="90"/>
      <c r="H270" s="90"/>
      <c r="I270" s="90"/>
      <c r="J270" s="90"/>
      <c r="K270" s="90"/>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row>
    <row r="271" spans="1:89" s="11" customFormat="1" ht="15.75" customHeight="1" x14ac:dyDescent="0.2">
      <c r="A271" s="166"/>
      <c r="B271" s="100"/>
      <c r="C271" s="161" t="s">
        <v>274</v>
      </c>
      <c r="D271" s="161" t="s">
        <v>528</v>
      </c>
      <c r="E271" s="162">
        <v>72000</v>
      </c>
      <c r="F271" s="89"/>
      <c r="G271" s="90"/>
      <c r="H271" s="90"/>
      <c r="I271" s="90"/>
      <c r="J271" s="90"/>
      <c r="K271" s="90"/>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row>
    <row r="272" spans="1:89" s="11" customFormat="1" ht="17" x14ac:dyDescent="0.2">
      <c r="A272" s="165"/>
      <c r="B272" s="100"/>
      <c r="C272" s="73" t="s">
        <v>0</v>
      </c>
      <c r="D272" s="145"/>
      <c r="E272" s="21"/>
      <c r="F272" s="64">
        <f>SUM(E271:E271)</f>
        <v>72000</v>
      </c>
      <c r="G272" s="90"/>
      <c r="H272" s="90"/>
      <c r="I272" s="90"/>
      <c r="J272" s="90"/>
      <c r="K272" s="90"/>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row>
    <row r="273" spans="1:89" s="11" customFormat="1" x14ac:dyDescent="0.2">
      <c r="A273" s="165"/>
      <c r="B273" s="50"/>
      <c r="C273" s="142"/>
      <c r="D273" s="142"/>
      <c r="E273" s="142"/>
      <c r="F273" s="142"/>
      <c r="G273" s="90"/>
      <c r="H273" s="90"/>
      <c r="I273" s="90"/>
      <c r="J273" s="90"/>
      <c r="K273" s="90"/>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row>
    <row r="274" spans="1:89" s="11" customFormat="1" ht="17" x14ac:dyDescent="0.2">
      <c r="A274" s="165"/>
      <c r="B274" s="100" t="s">
        <v>452</v>
      </c>
      <c r="C274" s="88" t="s">
        <v>272</v>
      </c>
      <c r="D274" s="89"/>
      <c r="E274" s="89"/>
      <c r="F274" s="89"/>
      <c r="G274" s="90"/>
      <c r="H274" s="90"/>
      <c r="I274" s="90"/>
      <c r="J274" s="90"/>
      <c r="K274" s="90"/>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row>
    <row r="275" spans="1:89" s="13" customFormat="1" ht="24" customHeight="1" x14ac:dyDescent="0.2">
      <c r="A275" s="165"/>
      <c r="B275" s="130"/>
      <c r="C275" s="196" t="s">
        <v>275</v>
      </c>
      <c r="D275" s="196"/>
      <c r="E275" s="196"/>
      <c r="F275" s="196"/>
      <c r="G275" s="91"/>
      <c r="H275" s="91"/>
      <c r="I275" s="91"/>
      <c r="J275" s="91"/>
      <c r="K275" s="91"/>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row>
    <row r="276" spans="1:89" s="11" customFormat="1" ht="34" x14ac:dyDescent="0.2">
      <c r="A276" s="166"/>
      <c r="B276" s="100"/>
      <c r="C276" s="161" t="s">
        <v>483</v>
      </c>
      <c r="D276" s="161"/>
      <c r="E276" s="162">
        <v>2000000</v>
      </c>
      <c r="F276" s="161"/>
      <c r="G276" s="90"/>
      <c r="H276" s="90"/>
      <c r="I276" s="90"/>
      <c r="J276" s="90"/>
      <c r="K276" s="90"/>
    </row>
    <row r="277" spans="1:89" s="11" customFormat="1" ht="17" x14ac:dyDescent="0.2">
      <c r="A277" s="166"/>
      <c r="B277" s="100"/>
      <c r="C277" s="161" t="s">
        <v>276</v>
      </c>
      <c r="D277" s="161"/>
      <c r="E277" s="162">
        <v>250000</v>
      </c>
      <c r="F277" s="161"/>
      <c r="G277" s="90"/>
      <c r="H277" s="90"/>
      <c r="I277" s="90"/>
      <c r="J277" s="90"/>
      <c r="K277" s="90"/>
    </row>
    <row r="278" spans="1:89" s="11" customFormat="1" ht="17" x14ac:dyDescent="0.2">
      <c r="A278" s="166"/>
      <c r="B278" s="100"/>
      <c r="C278" s="161" t="s">
        <v>277</v>
      </c>
      <c r="D278" s="161"/>
      <c r="E278" s="162">
        <v>1000000</v>
      </c>
      <c r="F278" s="161"/>
      <c r="G278" s="90"/>
      <c r="H278" s="90"/>
      <c r="I278" s="90"/>
      <c r="J278" s="90"/>
      <c r="K278" s="90"/>
    </row>
    <row r="279" spans="1:89" s="11" customFormat="1" ht="17" x14ac:dyDescent="0.2">
      <c r="A279" s="166"/>
      <c r="B279" s="100"/>
      <c r="C279" s="161" t="s">
        <v>278</v>
      </c>
      <c r="D279" s="161"/>
      <c r="E279" s="162">
        <v>109800</v>
      </c>
      <c r="F279" s="161"/>
      <c r="G279" s="90"/>
      <c r="H279" s="90"/>
      <c r="I279" s="90"/>
      <c r="J279" s="90"/>
      <c r="K279" s="90"/>
    </row>
    <row r="280" spans="1:89" s="11" customFormat="1" ht="17" x14ac:dyDescent="0.2">
      <c r="A280" s="165"/>
      <c r="B280" s="100"/>
      <c r="C280" s="74" t="s">
        <v>0</v>
      </c>
      <c r="D280" s="47"/>
      <c r="E280" s="43"/>
      <c r="F280" s="75">
        <f>SUM(E276:E279)</f>
        <v>3359800</v>
      </c>
      <c r="G280" s="90"/>
      <c r="H280" s="90"/>
      <c r="I280" s="90"/>
      <c r="J280" s="90"/>
      <c r="K280" s="90"/>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row>
    <row r="281" spans="1:89" s="11" customFormat="1" x14ac:dyDescent="0.2">
      <c r="A281" s="165"/>
      <c r="B281" s="130"/>
      <c r="C281" s="142"/>
      <c r="D281" s="142"/>
      <c r="E281" s="142"/>
      <c r="F281" s="142"/>
      <c r="G281" s="90"/>
      <c r="H281" s="90"/>
      <c r="I281" s="90"/>
      <c r="J281" s="90"/>
      <c r="K281" s="90"/>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row>
    <row r="282" spans="1:89" s="11" customFormat="1" ht="17" x14ac:dyDescent="0.2">
      <c r="A282" s="165"/>
      <c r="B282" s="100" t="s">
        <v>453</v>
      </c>
      <c r="C282" s="88" t="s">
        <v>375</v>
      </c>
      <c r="D282" s="89"/>
      <c r="E282" s="89"/>
      <c r="F282" s="89"/>
      <c r="G282" s="90"/>
      <c r="H282" s="90"/>
      <c r="I282" s="90"/>
      <c r="J282" s="90"/>
      <c r="K282" s="90"/>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row>
    <row r="283" spans="1:89" s="11" customFormat="1" ht="46" customHeight="1" x14ac:dyDescent="0.2">
      <c r="A283" s="165"/>
      <c r="B283" s="50"/>
      <c r="C283" s="196" t="s">
        <v>377</v>
      </c>
      <c r="D283" s="196"/>
      <c r="E283" s="196"/>
      <c r="F283" s="196"/>
      <c r="G283" s="90"/>
      <c r="H283" s="90"/>
      <c r="I283" s="90"/>
      <c r="J283" s="90"/>
      <c r="K283" s="90"/>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row>
    <row r="284" spans="1:89" s="11" customFormat="1" ht="17" x14ac:dyDescent="0.2">
      <c r="A284" s="166"/>
      <c r="B284" s="100"/>
      <c r="C284" s="161" t="s">
        <v>279</v>
      </c>
      <c r="D284" s="161"/>
      <c r="E284" s="162">
        <v>1500000</v>
      </c>
      <c r="F284" s="89"/>
      <c r="G284" s="90"/>
      <c r="H284" s="90"/>
      <c r="I284" s="90"/>
      <c r="J284" s="90"/>
      <c r="K284" s="90"/>
    </row>
    <row r="285" spans="1:89" s="11" customFormat="1" ht="17" x14ac:dyDescent="0.2">
      <c r="A285" s="165"/>
      <c r="B285" s="100"/>
      <c r="C285" s="73" t="s">
        <v>0</v>
      </c>
      <c r="D285" s="145"/>
      <c r="E285" s="21"/>
      <c r="F285" s="64">
        <f>SUM(E284:E284)</f>
        <v>1500000</v>
      </c>
      <c r="G285" s="90"/>
      <c r="H285" s="90"/>
      <c r="I285" s="90"/>
      <c r="J285" s="90"/>
      <c r="K285" s="90"/>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row>
    <row r="286" spans="1:89" s="11" customFormat="1" x14ac:dyDescent="0.2">
      <c r="A286" s="165"/>
      <c r="B286" s="50"/>
      <c r="C286" s="201"/>
      <c r="D286" s="201"/>
      <c r="E286" s="201"/>
      <c r="F286" s="201"/>
      <c r="G286" s="90"/>
      <c r="H286" s="90"/>
      <c r="I286" s="90"/>
      <c r="J286" s="90"/>
      <c r="K286" s="90"/>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row>
    <row r="287" spans="1:89" s="11" customFormat="1" ht="17" x14ac:dyDescent="0.2">
      <c r="A287" s="166"/>
      <c r="B287" s="100" t="s">
        <v>454</v>
      </c>
      <c r="C287" s="80" t="s">
        <v>399</v>
      </c>
      <c r="D287" s="145"/>
      <c r="E287" s="21"/>
      <c r="F287" s="64"/>
      <c r="G287" s="90"/>
      <c r="H287" s="90"/>
      <c r="I287" s="90"/>
      <c r="J287" s="90"/>
      <c r="K287" s="90"/>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row>
    <row r="288" spans="1:89" s="11" customFormat="1" ht="42" customHeight="1" x14ac:dyDescent="0.2">
      <c r="A288" s="166"/>
      <c r="B288" s="50"/>
      <c r="C288" s="196" t="s">
        <v>398</v>
      </c>
      <c r="D288" s="196"/>
      <c r="E288" s="196"/>
      <c r="F288" s="196"/>
      <c r="G288" s="90"/>
      <c r="H288" s="90"/>
      <c r="I288" s="90"/>
      <c r="J288" s="90"/>
      <c r="K288" s="90"/>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row>
    <row r="289" spans="1:89" s="11" customFormat="1" ht="17" x14ac:dyDescent="0.2">
      <c r="A289" s="166"/>
      <c r="B289" s="100"/>
      <c r="C289" s="161" t="s">
        <v>397</v>
      </c>
      <c r="D289" s="90"/>
      <c r="E289" s="159">
        <v>600000</v>
      </c>
      <c r="F289" s="157"/>
      <c r="G289" s="90"/>
      <c r="H289" s="90"/>
      <c r="I289" s="90"/>
      <c r="J289" s="90"/>
      <c r="K289" s="90"/>
    </row>
    <row r="290" spans="1:89" s="11" customFormat="1" ht="17" x14ac:dyDescent="0.2">
      <c r="A290" s="166"/>
      <c r="B290" s="100"/>
      <c r="C290" s="73" t="s">
        <v>0</v>
      </c>
      <c r="D290" s="145"/>
      <c r="E290" s="21"/>
      <c r="F290" s="64">
        <f>SUM(E289)</f>
        <v>600000</v>
      </c>
      <c r="G290" s="90"/>
      <c r="H290" s="90"/>
      <c r="I290" s="90"/>
      <c r="J290" s="90"/>
      <c r="K290" s="90"/>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row>
    <row r="291" spans="1:89" s="11" customFormat="1" x14ac:dyDescent="0.2">
      <c r="A291" s="166"/>
      <c r="B291" s="50"/>
      <c r="C291" s="201"/>
      <c r="D291" s="201"/>
      <c r="E291" s="201"/>
      <c r="F291" s="201"/>
      <c r="G291" s="90"/>
      <c r="H291" s="90"/>
      <c r="I291" s="90"/>
      <c r="J291" s="90"/>
      <c r="K291" s="90"/>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row>
    <row r="292" spans="1:89" s="16" customFormat="1" ht="17" x14ac:dyDescent="0.2">
      <c r="A292" s="166"/>
      <c r="B292" s="39" t="s">
        <v>455</v>
      </c>
      <c r="C292" s="144" t="s">
        <v>225</v>
      </c>
      <c r="D292" s="144"/>
      <c r="E292" s="71"/>
      <c r="F292" s="72"/>
      <c r="G292" s="145"/>
      <c r="H292" s="145"/>
      <c r="I292" s="145"/>
      <c r="J292" s="145"/>
      <c r="K292" s="14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row>
    <row r="293" spans="1:89" s="16" customFormat="1" ht="52.25" customHeight="1" x14ac:dyDescent="0.2">
      <c r="A293" s="166"/>
      <c r="B293" s="50"/>
      <c r="C293" s="192" t="s">
        <v>177</v>
      </c>
      <c r="D293" s="192"/>
      <c r="E293" s="192"/>
      <c r="F293" s="195"/>
      <c r="G293" s="145"/>
      <c r="H293" s="145"/>
      <c r="I293" s="145"/>
      <c r="J293" s="145"/>
      <c r="K293" s="14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row>
    <row r="294" spans="1:89" s="11" customFormat="1" ht="17" x14ac:dyDescent="0.2">
      <c r="A294" s="166"/>
      <c r="B294" s="100"/>
      <c r="C294" s="184" t="s">
        <v>178</v>
      </c>
      <c r="D294" s="66" t="s">
        <v>501</v>
      </c>
      <c r="E294" s="155">
        <v>160000</v>
      </c>
      <c r="F294" s="175"/>
      <c r="G294" s="90"/>
      <c r="H294" s="90"/>
      <c r="I294" s="90"/>
      <c r="J294" s="90"/>
      <c r="K294" s="90"/>
    </row>
    <row r="295" spans="1:89" s="11" customFormat="1" ht="17" x14ac:dyDescent="0.2">
      <c r="A295" s="166"/>
      <c r="B295" s="100"/>
      <c r="C295" s="90" t="s">
        <v>179</v>
      </c>
      <c r="D295" s="186" t="s">
        <v>500</v>
      </c>
      <c r="E295" s="155">
        <v>20000</v>
      </c>
      <c r="F295" s="175"/>
      <c r="G295" s="90"/>
      <c r="H295" s="90"/>
      <c r="I295" s="90"/>
      <c r="J295" s="90"/>
      <c r="K295" s="90"/>
    </row>
    <row r="296" spans="1:89" s="16" customFormat="1" ht="17" x14ac:dyDescent="0.2">
      <c r="A296" s="166"/>
      <c r="B296" s="39"/>
      <c r="C296" s="59" t="s">
        <v>0</v>
      </c>
      <c r="D296" s="40"/>
      <c r="E296" s="58"/>
      <c r="F296" s="49">
        <f>SUM(E294:E295)</f>
        <v>180000</v>
      </c>
      <c r="G296" s="145"/>
      <c r="H296" s="145"/>
      <c r="I296" s="145"/>
      <c r="J296" s="145"/>
      <c r="K296" s="14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row>
    <row r="297" spans="1:89" s="16" customFormat="1" x14ac:dyDescent="0.2">
      <c r="A297" s="166"/>
      <c r="B297" s="50"/>
      <c r="C297" s="203"/>
      <c r="D297" s="203"/>
      <c r="E297" s="203"/>
      <c r="F297" s="203"/>
      <c r="G297" s="145"/>
      <c r="H297" s="145"/>
      <c r="I297" s="145"/>
      <c r="J297" s="145"/>
      <c r="K297" s="14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row>
    <row r="298" spans="1:89" ht="17" x14ac:dyDescent="0.2">
      <c r="A298" s="166"/>
      <c r="B298" s="39" t="s">
        <v>456</v>
      </c>
      <c r="C298" s="144" t="s">
        <v>254</v>
      </c>
      <c r="D298" s="41"/>
      <c r="E298" s="61"/>
      <c r="F298" s="61"/>
      <c r="G298" s="145"/>
      <c r="H298" s="145"/>
      <c r="I298" s="145"/>
      <c r="J298" s="145"/>
      <c r="K298" s="145"/>
    </row>
    <row r="299" spans="1:89" ht="74" customHeight="1" x14ac:dyDescent="0.2">
      <c r="A299" s="166"/>
      <c r="B299" s="50"/>
      <c r="C299" s="196" t="s">
        <v>253</v>
      </c>
      <c r="D299" s="196"/>
      <c r="E299" s="196"/>
      <c r="F299" s="196"/>
      <c r="G299" s="145"/>
      <c r="H299" s="145"/>
      <c r="I299" s="145"/>
      <c r="J299" s="145"/>
      <c r="K299" s="145"/>
    </row>
    <row r="300" spans="1:89" s="11" customFormat="1" ht="17" x14ac:dyDescent="0.2">
      <c r="A300" s="166"/>
      <c r="B300" s="100"/>
      <c r="C300" s="66" t="s">
        <v>255</v>
      </c>
      <c r="D300" s="182" t="s">
        <v>556</v>
      </c>
      <c r="E300" s="154">
        <v>1800000</v>
      </c>
      <c r="F300" s="96"/>
      <c r="G300" s="90"/>
      <c r="H300" s="90"/>
      <c r="I300" s="90"/>
      <c r="J300" s="90"/>
      <c r="K300" s="90"/>
    </row>
    <row r="301" spans="1:89" ht="17" x14ac:dyDescent="0.2">
      <c r="A301" s="166"/>
      <c r="B301" s="39"/>
      <c r="C301" s="62" t="s">
        <v>0</v>
      </c>
      <c r="D301" s="41"/>
      <c r="E301" s="61"/>
      <c r="F301" s="63">
        <f>SUM(E300:E300)</f>
        <v>1800000</v>
      </c>
      <c r="G301" s="145"/>
      <c r="H301" s="145"/>
      <c r="I301" s="145"/>
      <c r="J301" s="145"/>
      <c r="K301" s="145"/>
    </row>
    <row r="302" spans="1:89" s="14" customFormat="1" x14ac:dyDescent="0.2">
      <c r="A302" s="166"/>
      <c r="B302" s="50"/>
      <c r="C302" s="50"/>
      <c r="D302" s="51"/>
      <c r="E302" s="60"/>
      <c r="F302" s="53"/>
      <c r="G302" s="145"/>
      <c r="H302" s="145"/>
      <c r="I302" s="145"/>
      <c r="J302" s="145"/>
      <c r="K302" s="14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row>
    <row r="303" spans="1:89" s="3" customFormat="1" x14ac:dyDescent="0.2">
      <c r="A303" s="166"/>
      <c r="B303" s="39" t="s">
        <v>457</v>
      </c>
      <c r="C303" s="39" t="s">
        <v>327</v>
      </c>
      <c r="D303" s="144"/>
      <c r="E303" s="71"/>
      <c r="F303" s="72"/>
      <c r="G303" s="145"/>
      <c r="H303" s="145"/>
      <c r="I303" s="145"/>
      <c r="J303" s="145"/>
      <c r="K303" s="145"/>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row>
    <row r="304" spans="1:89" s="3" customFormat="1" ht="68" customHeight="1" x14ac:dyDescent="0.2">
      <c r="A304" s="166"/>
      <c r="B304" s="50"/>
      <c r="C304" s="196" t="s">
        <v>326</v>
      </c>
      <c r="D304" s="212"/>
      <c r="E304" s="212"/>
      <c r="F304" s="212"/>
      <c r="G304" s="212"/>
      <c r="H304" s="212"/>
      <c r="I304" s="212"/>
      <c r="J304" s="212"/>
      <c r="K304" s="212"/>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row>
    <row r="305" spans="1:89" s="149" customFormat="1" ht="17" x14ac:dyDescent="0.2">
      <c r="A305" s="166"/>
      <c r="B305" s="100"/>
      <c r="C305" s="66" t="s">
        <v>328</v>
      </c>
      <c r="D305" s="66" t="s">
        <v>557</v>
      </c>
      <c r="E305" s="154">
        <f>400000*4</f>
        <v>1600000</v>
      </c>
      <c r="F305" s="175"/>
      <c r="G305" s="90"/>
      <c r="H305" s="90"/>
      <c r="I305" s="90"/>
      <c r="J305" s="90"/>
      <c r="K305" s="90"/>
    </row>
    <row r="306" spans="1:89" s="3" customFormat="1" ht="17" x14ac:dyDescent="0.2">
      <c r="A306" s="166"/>
      <c r="B306" s="39"/>
      <c r="C306" s="62" t="s">
        <v>0</v>
      </c>
      <c r="D306" s="144"/>
      <c r="E306" s="72"/>
      <c r="F306" s="72">
        <f>SUM(E305:E305)</f>
        <v>1600000</v>
      </c>
      <c r="G306" s="39"/>
      <c r="H306" s="39"/>
      <c r="I306" s="39"/>
      <c r="J306" s="39"/>
      <c r="K306" s="39"/>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row>
    <row r="307" spans="1:89" x14ac:dyDescent="0.2">
      <c r="A307" s="166"/>
      <c r="B307" s="50"/>
      <c r="C307" s="50"/>
      <c r="D307" s="51"/>
      <c r="E307" s="60"/>
      <c r="F307" s="53"/>
      <c r="G307" s="145"/>
      <c r="H307" s="145"/>
      <c r="I307" s="145"/>
      <c r="J307" s="145"/>
      <c r="K307" s="145"/>
    </row>
    <row r="308" spans="1:89" s="14" customFormat="1" ht="15" customHeight="1" x14ac:dyDescent="0.2">
      <c r="A308" s="166"/>
      <c r="B308" s="39" t="s">
        <v>458</v>
      </c>
      <c r="C308" s="208" t="s">
        <v>288</v>
      </c>
      <c r="D308" s="208"/>
      <c r="E308" s="58"/>
      <c r="F308" s="58"/>
      <c r="G308" s="145"/>
      <c r="H308" s="145"/>
      <c r="I308" s="145"/>
      <c r="J308" s="145"/>
      <c r="K308" s="14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row>
    <row r="309" spans="1:89" s="14" customFormat="1" ht="37" customHeight="1" x14ac:dyDescent="0.2">
      <c r="A309" s="166"/>
      <c r="B309" s="50"/>
      <c r="C309" s="199" t="s">
        <v>289</v>
      </c>
      <c r="D309" s="199"/>
      <c r="E309" s="199"/>
      <c r="F309" s="200"/>
      <c r="G309" s="145"/>
      <c r="H309" s="145"/>
      <c r="I309" s="145"/>
      <c r="J309" s="145"/>
      <c r="K309" s="14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row>
    <row r="310" spans="1:89" s="11" customFormat="1" ht="17" x14ac:dyDescent="0.2">
      <c r="A310" s="166"/>
      <c r="B310" s="100"/>
      <c r="C310" s="66" t="s">
        <v>290</v>
      </c>
      <c r="D310" s="156"/>
      <c r="E310" s="154">
        <v>4000000</v>
      </c>
      <c r="F310" s="96"/>
      <c r="G310" s="90"/>
      <c r="H310" s="90"/>
      <c r="I310" s="90"/>
      <c r="J310" s="90"/>
      <c r="K310" s="90"/>
    </row>
    <row r="311" spans="1:89" s="20" customFormat="1" ht="17" x14ac:dyDescent="0.2">
      <c r="A311" s="166"/>
      <c r="B311" s="100"/>
      <c r="C311" s="66" t="s">
        <v>484</v>
      </c>
      <c r="D311" s="156"/>
      <c r="E311" s="154">
        <v>500000</v>
      </c>
      <c r="F311" s="96"/>
      <c r="G311" s="145"/>
      <c r="H311" s="145"/>
      <c r="I311" s="145"/>
      <c r="J311" s="145"/>
      <c r="K311" s="14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row>
    <row r="312" spans="1:89" s="14" customFormat="1" ht="17" x14ac:dyDescent="0.2">
      <c r="A312" s="166"/>
      <c r="B312" s="39"/>
      <c r="C312" s="59" t="s">
        <v>0</v>
      </c>
      <c r="D312" s="40"/>
      <c r="E312" s="58"/>
      <c r="F312" s="49">
        <f>SUM(E310:E311)</f>
        <v>4500000</v>
      </c>
      <c r="G312" s="145"/>
      <c r="H312" s="145"/>
      <c r="I312" s="145"/>
      <c r="J312" s="145"/>
      <c r="K312" s="14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row>
    <row r="313" spans="1:89" s="15" customFormat="1" x14ac:dyDescent="0.2">
      <c r="A313" s="166"/>
      <c r="B313" s="50"/>
      <c r="C313" s="50"/>
      <c r="D313" s="51"/>
      <c r="E313" s="60"/>
      <c r="F313" s="53"/>
      <c r="G313" s="145"/>
      <c r="H313" s="145"/>
      <c r="I313" s="145"/>
      <c r="J313" s="145"/>
      <c r="K313" s="14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row>
    <row r="314" spans="1:89" ht="17" x14ac:dyDescent="0.2">
      <c r="A314" s="166"/>
      <c r="B314" s="39" t="s">
        <v>459</v>
      </c>
      <c r="C314" s="144" t="s">
        <v>219</v>
      </c>
      <c r="D314" s="144"/>
      <c r="E314" s="41"/>
      <c r="F314" s="41"/>
      <c r="G314" s="145"/>
      <c r="H314" s="145"/>
      <c r="I314" s="145"/>
      <c r="J314" s="145"/>
      <c r="K314" s="145"/>
    </row>
    <row r="315" spans="1:89" ht="87" customHeight="1" x14ac:dyDescent="0.2">
      <c r="A315" s="166"/>
      <c r="B315" s="50"/>
      <c r="C315" s="196" t="s">
        <v>220</v>
      </c>
      <c r="D315" s="196"/>
      <c r="E315" s="196"/>
      <c r="F315" s="219"/>
      <c r="G315" s="145"/>
      <c r="H315" s="145"/>
      <c r="I315" s="145"/>
      <c r="J315" s="145"/>
      <c r="K315" s="145"/>
    </row>
    <row r="316" spans="1:89" s="11" customFormat="1" ht="17" x14ac:dyDescent="0.2">
      <c r="A316" s="166"/>
      <c r="B316" s="100"/>
      <c r="C316" s="156" t="s">
        <v>221</v>
      </c>
      <c r="D316" s="66" t="s">
        <v>499</v>
      </c>
      <c r="E316" s="96">
        <v>1525000</v>
      </c>
      <c r="F316" s="96"/>
      <c r="G316" s="90"/>
      <c r="H316" s="90"/>
      <c r="I316" s="90"/>
      <c r="J316" s="90"/>
      <c r="K316" s="90"/>
    </row>
    <row r="317" spans="1:89" ht="17" x14ac:dyDescent="0.2">
      <c r="A317" s="166"/>
      <c r="B317" s="39"/>
      <c r="C317" s="62" t="s">
        <v>0</v>
      </c>
      <c r="D317" s="41"/>
      <c r="E317" s="41"/>
      <c r="F317" s="63">
        <f>SUM(E316:E316)</f>
        <v>1525000</v>
      </c>
      <c r="G317" s="145"/>
      <c r="H317" s="145"/>
      <c r="I317" s="145"/>
      <c r="J317" s="145"/>
      <c r="K317" s="145"/>
    </row>
    <row r="318" spans="1:89" x14ac:dyDescent="0.2">
      <c r="A318" s="166"/>
      <c r="B318" s="50"/>
      <c r="C318" s="50"/>
      <c r="D318" s="51"/>
      <c r="E318" s="60"/>
      <c r="F318" s="53"/>
      <c r="G318" s="145"/>
      <c r="H318" s="145"/>
      <c r="I318" s="145"/>
      <c r="J318" s="145"/>
      <c r="K318" s="145"/>
    </row>
    <row r="319" spans="1:89" ht="17" x14ac:dyDescent="0.2">
      <c r="A319" s="166"/>
      <c r="B319" s="39" t="s">
        <v>460</v>
      </c>
      <c r="C319" s="144" t="s">
        <v>226</v>
      </c>
      <c r="D319" s="144"/>
      <c r="E319" s="41"/>
      <c r="F319" s="41"/>
      <c r="G319" s="145"/>
      <c r="H319" s="145"/>
      <c r="I319" s="145"/>
      <c r="J319" s="145"/>
      <c r="K319" s="145"/>
    </row>
    <row r="320" spans="1:89" ht="43.25" customHeight="1" x14ac:dyDescent="0.2">
      <c r="A320" s="166"/>
      <c r="B320" s="50"/>
      <c r="C320" s="196" t="s">
        <v>353</v>
      </c>
      <c r="D320" s="196"/>
      <c r="E320" s="196"/>
      <c r="F320" s="219"/>
      <c r="G320" s="145"/>
      <c r="H320" s="145"/>
      <c r="I320" s="145"/>
      <c r="J320" s="145"/>
      <c r="K320" s="145"/>
    </row>
    <row r="321" spans="1:89" s="11" customFormat="1" ht="17" x14ac:dyDescent="0.2">
      <c r="A321" s="166"/>
      <c r="B321" s="100"/>
      <c r="C321" s="66" t="s">
        <v>176</v>
      </c>
      <c r="D321" s="66"/>
      <c r="E321" s="96">
        <v>150000</v>
      </c>
      <c r="F321" s="96"/>
      <c r="G321" s="90"/>
      <c r="H321" s="90"/>
      <c r="I321" s="90"/>
      <c r="J321" s="90"/>
      <c r="K321" s="90"/>
    </row>
    <row r="322" spans="1:89" ht="17" x14ac:dyDescent="0.2">
      <c r="A322" s="166"/>
      <c r="B322" s="39"/>
      <c r="C322" s="62" t="s">
        <v>0</v>
      </c>
      <c r="D322" s="41"/>
      <c r="E322" s="41"/>
      <c r="F322" s="63">
        <f>SUM(E321:E321)</f>
        <v>150000</v>
      </c>
      <c r="G322" s="145"/>
      <c r="H322" s="145"/>
      <c r="I322" s="145"/>
      <c r="J322" s="145"/>
      <c r="K322" s="145"/>
    </row>
    <row r="323" spans="1:89" x14ac:dyDescent="0.2">
      <c r="B323" s="50"/>
      <c r="C323" s="50"/>
      <c r="D323" s="51"/>
      <c r="E323" s="60"/>
      <c r="F323" s="53"/>
      <c r="G323" s="145"/>
      <c r="H323" s="145"/>
      <c r="I323" s="145"/>
      <c r="J323" s="145"/>
      <c r="K323" s="145"/>
    </row>
    <row r="324" spans="1:89" ht="17" x14ac:dyDescent="0.2">
      <c r="B324" s="39" t="s">
        <v>461</v>
      </c>
      <c r="C324" s="144" t="s">
        <v>294</v>
      </c>
      <c r="D324" s="144"/>
      <c r="E324" s="71"/>
      <c r="F324" s="72"/>
      <c r="G324" s="145"/>
      <c r="H324" s="145"/>
      <c r="I324" s="145"/>
      <c r="J324" s="145"/>
      <c r="K324" s="145"/>
    </row>
    <row r="325" spans="1:89" ht="99" customHeight="1" x14ac:dyDescent="0.2">
      <c r="B325" s="50"/>
      <c r="C325" s="196" t="s">
        <v>304</v>
      </c>
      <c r="D325" s="196"/>
      <c r="E325" s="196"/>
      <c r="F325" s="210"/>
      <c r="G325" s="145"/>
      <c r="H325" s="145"/>
      <c r="I325" s="145"/>
      <c r="J325" s="145"/>
      <c r="K325" s="145"/>
    </row>
    <row r="326" spans="1:89" s="20" customFormat="1" ht="17" x14ac:dyDescent="0.2">
      <c r="A326" s="166"/>
      <c r="B326" s="100"/>
      <c r="C326" s="173" t="s">
        <v>0</v>
      </c>
      <c r="D326" s="156"/>
      <c r="E326" s="96"/>
      <c r="F326" s="177">
        <v>5000000</v>
      </c>
      <c r="G326" s="148"/>
      <c r="H326" s="148"/>
      <c r="I326" s="148"/>
      <c r="J326" s="148"/>
      <c r="K326" s="148"/>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row>
    <row r="327" spans="1:89" x14ac:dyDescent="0.2">
      <c r="B327" s="50"/>
      <c r="C327" s="50"/>
      <c r="D327" s="51"/>
      <c r="E327" s="60"/>
      <c r="F327" s="53"/>
      <c r="G327" s="145"/>
      <c r="H327" s="145"/>
      <c r="I327" s="145"/>
      <c r="J327" s="145"/>
      <c r="K327" s="145"/>
    </row>
    <row r="328" spans="1:89" s="20" customFormat="1" ht="17" x14ac:dyDescent="0.2">
      <c r="A328" s="165"/>
      <c r="B328" s="173">
        <v>3.18</v>
      </c>
      <c r="C328" s="176" t="s">
        <v>555</v>
      </c>
      <c r="D328" s="174"/>
      <c r="E328" s="155"/>
      <c r="F328" s="175"/>
      <c r="G328" s="148"/>
      <c r="H328" s="148"/>
      <c r="I328" s="148"/>
      <c r="J328" s="148"/>
      <c r="K328" s="148"/>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row>
    <row r="329" spans="1:89" s="20" customFormat="1" x14ac:dyDescent="0.2">
      <c r="A329" s="165"/>
      <c r="B329" s="50"/>
      <c r="C329" s="50"/>
      <c r="D329" s="51"/>
      <c r="E329" s="52"/>
      <c r="F329" s="53"/>
      <c r="G329" s="148"/>
      <c r="H329" s="148"/>
      <c r="I329" s="148"/>
      <c r="J329" s="148"/>
      <c r="K329" s="148"/>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row>
    <row r="330" spans="1:89" s="20" customFormat="1" x14ac:dyDescent="0.2">
      <c r="A330" s="166"/>
      <c r="B330" s="173"/>
      <c r="C330" s="173"/>
      <c r="D330" s="174"/>
      <c r="E330" s="155"/>
      <c r="F330" s="175">
        <v>2200000</v>
      </c>
      <c r="G330" s="148"/>
      <c r="H330" s="148"/>
      <c r="I330" s="148"/>
      <c r="J330" s="148"/>
      <c r="K330" s="148"/>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row>
    <row r="331" spans="1:89" s="18" customFormat="1" ht="17" customHeight="1" x14ac:dyDescent="0.2">
      <c r="A331" s="165"/>
      <c r="B331" s="39"/>
      <c r="C331" s="92"/>
      <c r="D331" s="93" t="s">
        <v>386</v>
      </c>
      <c r="E331" s="94"/>
      <c r="F331" s="95">
        <f>SUM(F322+F317+F312+F306+F301+F296+F285+F280+F272+F267+F260+F248+F236+F222+F290+F326)+F330</f>
        <v>26728800</v>
      </c>
      <c r="G331" s="95" t="e">
        <f>SUM(#REF!+G322+G317+G312+G306+G301+G296+G285+G280+G272+G267+G260+G248+G236+G222+G290+#REF!+G326)</f>
        <v>#REF!</v>
      </c>
      <c r="H331" s="95" t="e">
        <f>SUM(#REF!+H322+H317+H312+H306+H301+H296+H285+H280+H272+H267+H260+H248+H236+H222+H290+#REF!+H326)</f>
        <v>#REF!</v>
      </c>
      <c r="I331" s="95" t="e">
        <f>SUM(#REF!+I322+I317+I312+I306+I301+I296+I285+I280+I272+I267+I260+I248+I236+I222+I290+#REF!+I326)</f>
        <v>#REF!</v>
      </c>
      <c r="J331" s="95" t="e">
        <f>SUM(#REF!+J322+J317+J312+J306+J301+J296+J285+J280+J272+J267+J260+J248+J236+J222+J290+#REF!+J326)</f>
        <v>#REF!</v>
      </c>
      <c r="K331" s="95" t="e">
        <f>SUM(#REF!+K322+K317+K312+K306+K301+K296+K285+K280+K272+K267+K260+K248+K236+K222+K290+#REF!+K326)</f>
        <v>#REF!</v>
      </c>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row>
    <row r="332" spans="1:89" s="16" customFormat="1" x14ac:dyDescent="0.2">
      <c r="A332" s="165"/>
      <c r="B332" s="50"/>
      <c r="C332" s="50"/>
      <c r="D332" s="51"/>
      <c r="E332" s="52"/>
      <c r="F332" s="53"/>
      <c r="G332" s="145"/>
      <c r="H332" s="145"/>
      <c r="I332" s="145"/>
      <c r="J332" s="145"/>
      <c r="K332" s="14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row>
    <row r="333" spans="1:89" s="16" customFormat="1" x14ac:dyDescent="0.2">
      <c r="A333" s="165"/>
      <c r="B333" s="39">
        <v>4</v>
      </c>
      <c r="C333" s="216" t="s">
        <v>388</v>
      </c>
      <c r="D333" s="216"/>
      <c r="E333" s="58"/>
      <c r="F333" s="21"/>
      <c r="G333" s="145"/>
      <c r="H333" s="145"/>
      <c r="I333" s="145"/>
      <c r="J333" s="145"/>
      <c r="K333" s="14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row>
    <row r="334" spans="1:89" s="16" customFormat="1" ht="271.75" customHeight="1" x14ac:dyDescent="0.2">
      <c r="A334" s="165"/>
      <c r="B334" s="50"/>
      <c r="C334" s="192" t="s">
        <v>389</v>
      </c>
      <c r="D334" s="192"/>
      <c r="E334" s="192"/>
      <c r="F334" s="192"/>
      <c r="G334" s="145"/>
      <c r="H334" s="145"/>
      <c r="I334" s="145"/>
      <c r="J334" s="145"/>
      <c r="K334" s="14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row>
    <row r="335" spans="1:89" s="16" customFormat="1" ht="18" customHeight="1" x14ac:dyDescent="0.2">
      <c r="A335" s="165"/>
      <c r="B335" s="39" t="s">
        <v>462</v>
      </c>
      <c r="C335" s="146" t="s">
        <v>72</v>
      </c>
      <c r="D335" s="146"/>
      <c r="E335" s="40"/>
      <c r="F335" s="145"/>
      <c r="G335" s="145"/>
      <c r="H335" s="145"/>
      <c r="I335" s="145"/>
      <c r="J335" s="145"/>
      <c r="K335" s="14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row>
    <row r="336" spans="1:89" s="16" customFormat="1" x14ac:dyDescent="0.2">
      <c r="A336" s="165"/>
      <c r="B336" s="50"/>
      <c r="C336" s="196"/>
      <c r="D336" s="196"/>
      <c r="E336" s="196"/>
      <c r="F336" s="196"/>
      <c r="G336" s="145"/>
      <c r="H336" s="145"/>
      <c r="I336" s="145"/>
      <c r="J336" s="145"/>
      <c r="K336" s="14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row>
    <row r="337" spans="1:11" s="11" customFormat="1" ht="15.75" customHeight="1" x14ac:dyDescent="0.2">
      <c r="A337" s="166"/>
      <c r="B337" s="100"/>
      <c r="C337" s="90" t="s">
        <v>182</v>
      </c>
      <c r="D337" s="66" t="s">
        <v>582</v>
      </c>
      <c r="E337" s="96">
        <f>93000*5</f>
        <v>465000</v>
      </c>
      <c r="F337" s="96"/>
      <c r="G337" s="90"/>
      <c r="H337" s="90"/>
      <c r="I337" s="90"/>
      <c r="J337" s="90"/>
      <c r="K337" s="90"/>
    </row>
    <row r="338" spans="1:11" ht="17" x14ac:dyDescent="0.2">
      <c r="A338" s="180"/>
      <c r="B338" s="100"/>
      <c r="C338" s="66" t="s">
        <v>73</v>
      </c>
      <c r="D338" s="66" t="s">
        <v>581</v>
      </c>
      <c r="E338" s="96">
        <f>48000*2</f>
        <v>96000</v>
      </c>
      <c r="F338" s="96"/>
      <c r="G338" s="145"/>
      <c r="H338" s="145"/>
      <c r="I338" s="145"/>
      <c r="J338" s="145"/>
      <c r="K338" s="145"/>
    </row>
    <row r="339" spans="1:11" x14ac:dyDescent="0.2">
      <c r="A339" s="168"/>
      <c r="B339" s="39"/>
      <c r="C339" s="48" t="s">
        <v>0</v>
      </c>
      <c r="D339" s="145"/>
      <c r="E339" s="145"/>
      <c r="F339" s="49">
        <f>SUM(E337:E338)</f>
        <v>561000</v>
      </c>
      <c r="G339" s="145"/>
      <c r="H339" s="145"/>
      <c r="I339" s="145"/>
      <c r="J339" s="145"/>
      <c r="K339" s="145"/>
    </row>
    <row r="340" spans="1:11" x14ac:dyDescent="0.2">
      <c r="A340" s="168"/>
      <c r="B340" s="50"/>
      <c r="C340" s="50"/>
      <c r="D340" s="51"/>
      <c r="E340" s="52"/>
      <c r="F340" s="53"/>
      <c r="G340" s="145"/>
      <c r="H340" s="145"/>
      <c r="I340" s="145"/>
      <c r="J340" s="145"/>
      <c r="K340" s="145"/>
    </row>
    <row r="341" spans="1:11" ht="36.5" customHeight="1" x14ac:dyDescent="0.2">
      <c r="A341" s="168"/>
      <c r="B341" s="39" t="s">
        <v>463</v>
      </c>
      <c r="C341" s="146" t="s">
        <v>38</v>
      </c>
      <c r="D341" s="146"/>
      <c r="E341" s="40"/>
      <c r="F341" s="145"/>
      <c r="G341" s="145"/>
      <c r="H341" s="145"/>
      <c r="I341" s="145"/>
      <c r="J341" s="145"/>
      <c r="K341" s="145"/>
    </row>
    <row r="342" spans="1:11" s="11" customFormat="1" x14ac:dyDescent="0.2">
      <c r="A342" s="165"/>
      <c r="B342" s="50"/>
      <c r="C342" s="196" t="s">
        <v>39</v>
      </c>
      <c r="D342" s="196"/>
      <c r="E342" s="196"/>
      <c r="F342" s="215"/>
      <c r="G342" s="90"/>
      <c r="H342" s="90"/>
      <c r="I342" s="90"/>
      <c r="J342" s="90"/>
      <c r="K342" s="90"/>
    </row>
    <row r="343" spans="1:11" s="11" customFormat="1" ht="18.5" customHeight="1" x14ac:dyDescent="0.2">
      <c r="A343" s="166"/>
      <c r="B343" s="100"/>
      <c r="C343" s="90" t="s">
        <v>40</v>
      </c>
      <c r="D343" s="66" t="s">
        <v>50</v>
      </c>
      <c r="E343" s="96">
        <v>29000</v>
      </c>
      <c r="F343" s="96"/>
      <c r="G343" s="90"/>
      <c r="H343" s="90"/>
      <c r="I343" s="90"/>
      <c r="J343" s="90"/>
      <c r="K343" s="90"/>
    </row>
    <row r="344" spans="1:11" s="11" customFormat="1" ht="17" x14ac:dyDescent="0.2">
      <c r="A344" s="166"/>
      <c r="B344" s="100"/>
      <c r="C344" s="66" t="s">
        <v>44</v>
      </c>
      <c r="D344" s="66" t="s">
        <v>183</v>
      </c>
      <c r="E344" s="96">
        <v>155000</v>
      </c>
      <c r="F344" s="96"/>
      <c r="G344" s="90"/>
      <c r="H344" s="90"/>
      <c r="I344" s="90"/>
      <c r="J344" s="90"/>
      <c r="K344" s="90"/>
    </row>
    <row r="345" spans="1:11" ht="22.25" customHeight="1" x14ac:dyDescent="0.2">
      <c r="A345" s="166"/>
      <c r="B345" s="100"/>
      <c r="C345" s="66" t="s">
        <v>41</v>
      </c>
      <c r="D345" s="66" t="s">
        <v>184</v>
      </c>
      <c r="E345" s="96">
        <f>250*2*2*121</f>
        <v>121000</v>
      </c>
      <c r="F345" s="96"/>
      <c r="G345" s="145"/>
      <c r="H345" s="145"/>
      <c r="I345" s="145"/>
      <c r="J345" s="145"/>
      <c r="K345" s="145"/>
    </row>
    <row r="346" spans="1:11" x14ac:dyDescent="0.2">
      <c r="B346" s="39"/>
      <c r="C346" s="48" t="s">
        <v>0</v>
      </c>
      <c r="D346" s="145"/>
      <c r="E346" s="145"/>
      <c r="F346" s="49">
        <f>SUM(E343:E345)</f>
        <v>305000</v>
      </c>
      <c r="G346" s="145"/>
      <c r="H346" s="145"/>
      <c r="I346" s="145"/>
      <c r="J346" s="145"/>
      <c r="K346" s="145"/>
    </row>
    <row r="347" spans="1:11" x14ac:dyDescent="0.2">
      <c r="B347" s="50"/>
      <c r="C347" s="50"/>
      <c r="D347" s="51"/>
      <c r="E347" s="52"/>
      <c r="F347" s="53"/>
      <c r="G347" s="145"/>
      <c r="H347" s="145"/>
      <c r="I347" s="145"/>
      <c r="J347" s="145"/>
      <c r="K347" s="145"/>
    </row>
    <row r="348" spans="1:11" ht="24" customHeight="1" x14ac:dyDescent="0.2">
      <c r="B348" s="39" t="s">
        <v>464</v>
      </c>
      <c r="C348" s="146" t="s">
        <v>42</v>
      </c>
      <c r="D348" s="146"/>
      <c r="E348" s="40"/>
      <c r="F348" s="145"/>
      <c r="G348" s="145"/>
      <c r="H348" s="145"/>
      <c r="I348" s="145"/>
      <c r="J348" s="145"/>
      <c r="K348" s="145"/>
    </row>
    <row r="349" spans="1:11" s="11" customFormat="1" x14ac:dyDescent="0.2">
      <c r="A349" s="165"/>
      <c r="B349" s="50"/>
      <c r="C349" s="196" t="s">
        <v>43</v>
      </c>
      <c r="D349" s="196"/>
      <c r="E349" s="196"/>
      <c r="F349" s="215"/>
      <c r="G349" s="90"/>
      <c r="H349" s="90"/>
      <c r="I349" s="90"/>
      <c r="J349" s="90"/>
      <c r="K349" s="90"/>
    </row>
    <row r="350" spans="1:11" s="11" customFormat="1" ht="24" customHeight="1" x14ac:dyDescent="0.2">
      <c r="A350" s="166"/>
      <c r="B350" s="100"/>
      <c r="C350" s="90" t="s">
        <v>48</v>
      </c>
      <c r="D350" s="66" t="s">
        <v>46</v>
      </c>
      <c r="E350" s="96">
        <v>29000</v>
      </c>
      <c r="F350" s="96"/>
      <c r="G350" s="90"/>
      <c r="H350" s="90"/>
      <c r="I350" s="90"/>
      <c r="J350" s="90"/>
      <c r="K350" s="90"/>
    </row>
    <row r="351" spans="1:11" s="11" customFormat="1" ht="17" x14ac:dyDescent="0.2">
      <c r="A351" s="166"/>
      <c r="B351" s="100"/>
      <c r="C351" s="66" t="s">
        <v>47</v>
      </c>
      <c r="D351" s="66" t="s">
        <v>49</v>
      </c>
      <c r="E351" s="96">
        <v>125000</v>
      </c>
      <c r="F351" s="96"/>
      <c r="G351" s="90"/>
      <c r="H351" s="90"/>
      <c r="I351" s="90"/>
      <c r="J351" s="90"/>
      <c r="K351" s="90"/>
    </row>
    <row r="352" spans="1:11" s="11" customFormat="1" ht="22.5" customHeight="1" x14ac:dyDescent="0.2">
      <c r="A352" s="166"/>
      <c r="B352" s="100"/>
      <c r="C352" s="66" t="s">
        <v>45</v>
      </c>
      <c r="D352" s="66" t="s">
        <v>52</v>
      </c>
      <c r="E352" s="96">
        <v>120000</v>
      </c>
      <c r="F352" s="96"/>
      <c r="G352" s="90"/>
      <c r="H352" s="90"/>
      <c r="I352" s="90"/>
      <c r="J352" s="90"/>
      <c r="K352" s="90"/>
    </row>
    <row r="353" spans="1:89" ht="17" x14ac:dyDescent="0.2">
      <c r="A353" s="166"/>
      <c r="B353" s="100"/>
      <c r="C353" s="66" t="s">
        <v>51</v>
      </c>
      <c r="D353" s="66" t="s">
        <v>575</v>
      </c>
      <c r="E353" s="96">
        <f>34000+25000</f>
        <v>59000</v>
      </c>
      <c r="F353" s="96"/>
      <c r="G353" s="145"/>
      <c r="H353" s="145"/>
      <c r="I353" s="145"/>
      <c r="J353" s="145"/>
      <c r="K353" s="145"/>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row>
    <row r="354" spans="1:89" x14ac:dyDescent="0.2">
      <c r="B354" s="39"/>
      <c r="C354" s="48" t="s">
        <v>0</v>
      </c>
      <c r="D354" s="145"/>
      <c r="E354" s="145"/>
      <c r="F354" s="49">
        <f>SUM(E350:E353)</f>
        <v>333000</v>
      </c>
      <c r="G354" s="145"/>
      <c r="H354" s="145"/>
      <c r="I354" s="145"/>
      <c r="J354" s="145"/>
      <c r="K354" s="145"/>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row>
    <row r="355" spans="1:89" x14ac:dyDescent="0.2">
      <c r="B355" s="50"/>
      <c r="C355" s="50"/>
      <c r="D355" s="51"/>
      <c r="E355" s="52"/>
      <c r="F355" s="53"/>
      <c r="G355" s="145"/>
      <c r="H355" s="145"/>
      <c r="I355" s="145"/>
      <c r="J355" s="145"/>
      <c r="K355" s="145"/>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row>
    <row r="356" spans="1:89" ht="22.25" customHeight="1" x14ac:dyDescent="0.2">
      <c r="B356" s="39" t="s">
        <v>465</v>
      </c>
      <c r="C356" s="146" t="s">
        <v>58</v>
      </c>
      <c r="D356" s="40"/>
      <c r="E356" s="21"/>
      <c r="F356" s="58"/>
      <c r="G356" s="145"/>
      <c r="H356" s="145"/>
      <c r="I356" s="145"/>
      <c r="J356" s="145"/>
      <c r="K356" s="145"/>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row>
    <row r="357" spans="1:89" s="11" customFormat="1" x14ac:dyDescent="0.2">
      <c r="A357" s="165"/>
      <c r="B357" s="50"/>
      <c r="C357" s="196" t="s">
        <v>53</v>
      </c>
      <c r="D357" s="196"/>
      <c r="E357" s="196"/>
      <c r="F357" s="196"/>
      <c r="G357" s="90"/>
      <c r="H357" s="90"/>
      <c r="I357" s="90"/>
      <c r="J357" s="90"/>
      <c r="K357" s="90"/>
    </row>
    <row r="358" spans="1:89" s="11" customFormat="1" ht="22.25" customHeight="1" x14ac:dyDescent="0.2">
      <c r="A358" s="166"/>
      <c r="B358" s="100"/>
      <c r="C358" s="163" t="s">
        <v>55</v>
      </c>
      <c r="D358" s="66" t="s">
        <v>54</v>
      </c>
      <c r="E358" s="154">
        <v>29000</v>
      </c>
      <c r="F358" s="159"/>
      <c r="G358" s="90"/>
      <c r="H358" s="90"/>
      <c r="I358" s="90"/>
      <c r="J358" s="90"/>
      <c r="K358" s="90"/>
    </row>
    <row r="359" spans="1:89" s="11" customFormat="1" ht="17" x14ac:dyDescent="0.2">
      <c r="A359" s="166"/>
      <c r="B359" s="100"/>
      <c r="C359" s="66" t="s">
        <v>74</v>
      </c>
      <c r="D359" s="66" t="s">
        <v>84</v>
      </c>
      <c r="E359" s="96">
        <v>29000</v>
      </c>
      <c r="F359" s="159"/>
      <c r="G359" s="90"/>
      <c r="H359" s="90"/>
      <c r="I359" s="90"/>
      <c r="J359" s="90"/>
      <c r="K359" s="90"/>
    </row>
    <row r="360" spans="1:89" s="11" customFormat="1" ht="17" x14ac:dyDescent="0.2">
      <c r="A360" s="166"/>
      <c r="B360" s="100"/>
      <c r="C360" s="90" t="s">
        <v>75</v>
      </c>
      <c r="D360" s="66" t="s">
        <v>56</v>
      </c>
      <c r="E360" s="154">
        <v>24000</v>
      </c>
      <c r="F360" s="159"/>
      <c r="G360" s="90"/>
      <c r="H360" s="90"/>
      <c r="I360" s="90"/>
      <c r="J360" s="90"/>
      <c r="K360" s="90"/>
    </row>
    <row r="361" spans="1:89" ht="17" x14ac:dyDescent="0.2">
      <c r="A361" s="166"/>
      <c r="B361" s="100"/>
      <c r="C361" s="90" t="s">
        <v>57</v>
      </c>
      <c r="D361" s="66" t="s">
        <v>268</v>
      </c>
      <c r="E361" s="154">
        <v>290000</v>
      </c>
      <c r="F361" s="159"/>
      <c r="G361" s="145"/>
      <c r="H361" s="145"/>
      <c r="I361" s="145"/>
      <c r="J361" s="145"/>
      <c r="K361" s="145"/>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row>
    <row r="362" spans="1:89" x14ac:dyDescent="0.2">
      <c r="B362" s="39"/>
      <c r="C362" s="48" t="s">
        <v>0</v>
      </c>
      <c r="D362" s="40"/>
      <c r="E362" s="21"/>
      <c r="F362" s="49">
        <f>SUM(E358:E361)</f>
        <v>372000</v>
      </c>
      <c r="G362" s="145"/>
      <c r="H362" s="145"/>
      <c r="I362" s="145"/>
      <c r="J362" s="145"/>
      <c r="K362" s="145"/>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row>
    <row r="363" spans="1:89" x14ac:dyDescent="0.2">
      <c r="B363" s="50"/>
      <c r="C363" s="50"/>
      <c r="D363" s="51"/>
      <c r="E363" s="52"/>
      <c r="F363" s="53"/>
      <c r="G363" s="145"/>
      <c r="H363" s="145"/>
      <c r="I363" s="145"/>
      <c r="J363" s="145"/>
      <c r="K363" s="145"/>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row>
    <row r="364" spans="1:89" ht="21" customHeight="1" x14ac:dyDescent="0.2">
      <c r="B364" s="39" t="s">
        <v>466</v>
      </c>
      <c r="C364" s="146" t="s">
        <v>228</v>
      </c>
      <c r="D364" s="40"/>
      <c r="E364" s="21"/>
      <c r="F364" s="58"/>
      <c r="G364" s="145"/>
      <c r="H364" s="145"/>
      <c r="I364" s="145"/>
      <c r="J364" s="145"/>
      <c r="K364" s="145"/>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row>
    <row r="365" spans="1:89" s="11" customFormat="1" x14ac:dyDescent="0.2">
      <c r="A365" s="165"/>
      <c r="B365" s="50"/>
      <c r="C365" s="196" t="s">
        <v>229</v>
      </c>
      <c r="D365" s="196"/>
      <c r="E365" s="196"/>
      <c r="F365" s="196"/>
      <c r="G365" s="90"/>
      <c r="H365" s="90"/>
      <c r="I365" s="90"/>
      <c r="J365" s="90"/>
      <c r="K365" s="90"/>
    </row>
    <row r="366" spans="1:89" s="11" customFormat="1" ht="17" customHeight="1" x14ac:dyDescent="0.2">
      <c r="A366" s="166"/>
      <c r="B366" s="100"/>
      <c r="C366" s="66" t="s">
        <v>230</v>
      </c>
      <c r="D366" s="66" t="s">
        <v>231</v>
      </c>
      <c r="E366" s="154">
        <v>294000</v>
      </c>
      <c r="F366" s="155"/>
      <c r="G366" s="90"/>
      <c r="H366" s="90"/>
      <c r="I366" s="90"/>
      <c r="J366" s="90"/>
      <c r="K366" s="90"/>
    </row>
    <row r="367" spans="1:89" s="11" customFormat="1" ht="17" x14ac:dyDescent="0.2">
      <c r="A367" s="166"/>
      <c r="B367" s="100"/>
      <c r="C367" s="66" t="s">
        <v>232</v>
      </c>
      <c r="D367" s="66" t="s">
        <v>233</v>
      </c>
      <c r="E367" s="154">
        <v>227000</v>
      </c>
      <c r="F367" s="155"/>
      <c r="G367" s="90"/>
      <c r="H367" s="90"/>
      <c r="I367" s="90"/>
      <c r="J367" s="90"/>
      <c r="K367" s="90"/>
    </row>
    <row r="368" spans="1:89" s="11" customFormat="1" ht="17" x14ac:dyDescent="0.2">
      <c r="A368" s="166"/>
      <c r="B368" s="100"/>
      <c r="C368" s="66" t="s">
        <v>37</v>
      </c>
      <c r="D368" s="66" t="s">
        <v>267</v>
      </c>
      <c r="E368" s="154">
        <v>216000</v>
      </c>
      <c r="F368" s="155"/>
      <c r="G368" s="90"/>
      <c r="H368" s="90"/>
      <c r="I368" s="90"/>
      <c r="J368" s="90"/>
      <c r="K368" s="90"/>
    </row>
    <row r="369" spans="1:89" ht="20" customHeight="1" x14ac:dyDescent="0.2">
      <c r="A369" s="166"/>
      <c r="B369" s="100"/>
      <c r="C369" s="66" t="s">
        <v>59</v>
      </c>
      <c r="D369" s="66" t="s">
        <v>234</v>
      </c>
      <c r="E369" s="154">
        <v>76000</v>
      </c>
      <c r="F369" s="155"/>
      <c r="G369" s="145"/>
      <c r="H369" s="145"/>
      <c r="I369" s="145"/>
      <c r="J369" s="145"/>
      <c r="K369" s="145"/>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row>
    <row r="370" spans="1:89" x14ac:dyDescent="0.2">
      <c r="B370" s="39"/>
      <c r="C370" s="48" t="s">
        <v>0</v>
      </c>
      <c r="D370" s="40"/>
      <c r="E370" s="21"/>
      <c r="F370" s="49">
        <f>SUM(E366:E369)</f>
        <v>813000</v>
      </c>
      <c r="G370" s="145"/>
      <c r="H370" s="145"/>
      <c r="I370" s="145"/>
      <c r="J370" s="145"/>
      <c r="K370" s="145"/>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row>
    <row r="371" spans="1:89" ht="20" customHeight="1" x14ac:dyDescent="0.2">
      <c r="B371" s="50"/>
      <c r="C371" s="50"/>
      <c r="D371" s="51"/>
      <c r="E371" s="52"/>
      <c r="F371" s="53"/>
      <c r="G371" s="145"/>
      <c r="H371" s="145"/>
      <c r="I371" s="145"/>
      <c r="J371" s="145"/>
      <c r="K371" s="145"/>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row>
    <row r="372" spans="1:89" x14ac:dyDescent="0.2">
      <c r="B372" s="39" t="s">
        <v>467</v>
      </c>
      <c r="C372" s="146" t="s">
        <v>63</v>
      </c>
      <c r="D372" s="146"/>
      <c r="E372" s="40"/>
      <c r="F372" s="145"/>
      <c r="G372" s="145"/>
      <c r="H372" s="145"/>
      <c r="I372" s="145"/>
      <c r="J372" s="145"/>
      <c r="K372" s="145"/>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row>
    <row r="373" spans="1:89" x14ac:dyDescent="0.2">
      <c r="B373" s="50"/>
      <c r="C373" s="196" t="s">
        <v>60</v>
      </c>
      <c r="D373" s="196"/>
      <c r="E373" s="196"/>
      <c r="F373" s="215"/>
      <c r="G373" s="145"/>
      <c r="H373" s="145"/>
      <c r="I373" s="145"/>
      <c r="J373" s="145"/>
      <c r="K373" s="145"/>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row>
    <row r="374" spans="1:89" ht="17" x14ac:dyDescent="0.2">
      <c r="A374" s="166"/>
      <c r="B374" s="100"/>
      <c r="C374" s="90" t="s">
        <v>76</v>
      </c>
      <c r="D374" s="66" t="s">
        <v>77</v>
      </c>
      <c r="E374" s="96">
        <v>19000</v>
      </c>
      <c r="F374" s="96"/>
      <c r="G374" s="145"/>
      <c r="H374" s="145"/>
      <c r="I374" s="145"/>
      <c r="J374" s="145"/>
      <c r="K374" s="145"/>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row>
    <row r="375" spans="1:89" ht="17" x14ac:dyDescent="0.2">
      <c r="A375" s="166"/>
      <c r="B375" s="100"/>
      <c r="C375" s="90" t="s">
        <v>78</v>
      </c>
      <c r="D375" s="66" t="s">
        <v>85</v>
      </c>
      <c r="E375" s="96">
        <v>24000</v>
      </c>
      <c r="F375" s="96"/>
      <c r="G375" s="145"/>
      <c r="H375" s="145"/>
      <c r="I375" s="145"/>
      <c r="J375" s="145"/>
      <c r="K375" s="145"/>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row>
    <row r="376" spans="1:89" ht="17" x14ac:dyDescent="0.2">
      <c r="A376" s="166"/>
      <c r="B376" s="100"/>
      <c r="C376" s="90" t="s">
        <v>79</v>
      </c>
      <c r="D376" s="66" t="s">
        <v>61</v>
      </c>
      <c r="E376" s="96">
        <v>24000</v>
      </c>
      <c r="F376" s="96"/>
      <c r="G376" s="145"/>
      <c r="H376" s="145"/>
      <c r="I376" s="145"/>
      <c r="J376" s="145"/>
      <c r="K376" s="145"/>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row>
    <row r="377" spans="1:89" x14ac:dyDescent="0.2">
      <c r="B377" s="39"/>
      <c r="C377" s="48" t="s">
        <v>0</v>
      </c>
      <c r="D377" s="145"/>
      <c r="E377" s="145"/>
      <c r="F377" s="49">
        <f>SUM(E374:E376)</f>
        <v>67000</v>
      </c>
      <c r="G377" s="145"/>
      <c r="H377" s="145"/>
      <c r="I377" s="145"/>
      <c r="J377" s="145"/>
      <c r="K377" s="145"/>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row>
    <row r="378" spans="1:89" x14ac:dyDescent="0.2">
      <c r="B378" s="50"/>
      <c r="C378" s="50"/>
      <c r="D378" s="51"/>
      <c r="E378" s="52"/>
      <c r="F378" s="53"/>
      <c r="G378" s="145"/>
      <c r="H378" s="145"/>
      <c r="I378" s="145"/>
      <c r="J378" s="145"/>
      <c r="K378" s="145"/>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row>
    <row r="379" spans="1:89" ht="16.25" customHeight="1" x14ac:dyDescent="0.2">
      <c r="B379" s="39" t="s">
        <v>468</v>
      </c>
      <c r="C379" s="146" t="s">
        <v>62</v>
      </c>
      <c r="D379" s="40"/>
      <c r="E379" s="21"/>
      <c r="F379" s="58"/>
      <c r="G379" s="145"/>
      <c r="H379" s="145"/>
      <c r="I379" s="145"/>
      <c r="J379" s="145"/>
      <c r="K379" s="145"/>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row>
    <row r="380" spans="1:89" s="11" customFormat="1" x14ac:dyDescent="0.2">
      <c r="A380" s="165"/>
      <c r="B380" s="50"/>
      <c r="C380" s="196" t="s">
        <v>185</v>
      </c>
      <c r="D380" s="196"/>
      <c r="E380" s="196"/>
      <c r="F380" s="196"/>
      <c r="G380" s="90"/>
      <c r="H380" s="90"/>
      <c r="I380" s="90"/>
      <c r="J380" s="90"/>
      <c r="K380" s="90"/>
    </row>
    <row r="381" spans="1:89" s="11" customFormat="1" ht="17" x14ac:dyDescent="0.2">
      <c r="A381" s="166"/>
      <c r="B381" s="100"/>
      <c r="C381" s="90" t="s">
        <v>80</v>
      </c>
      <c r="D381" s="66" t="s">
        <v>81</v>
      </c>
      <c r="E381" s="154">
        <v>51000</v>
      </c>
      <c r="F381" s="159"/>
      <c r="G381" s="90"/>
      <c r="H381" s="90"/>
      <c r="I381" s="90"/>
      <c r="J381" s="90"/>
      <c r="K381" s="90"/>
    </row>
    <row r="382" spans="1:89" s="11" customFormat="1" ht="17" x14ac:dyDescent="0.2">
      <c r="A382" s="166"/>
      <c r="B382" s="100"/>
      <c r="C382" s="90" t="s">
        <v>82</v>
      </c>
      <c r="D382" s="66" t="s">
        <v>64</v>
      </c>
      <c r="E382" s="96">
        <v>168000</v>
      </c>
      <c r="F382" s="159"/>
      <c r="G382" s="90"/>
      <c r="H382" s="90"/>
      <c r="I382" s="90"/>
      <c r="J382" s="90"/>
      <c r="K382" s="90"/>
    </row>
    <row r="383" spans="1:89" ht="17" x14ac:dyDescent="0.2">
      <c r="A383" s="166"/>
      <c r="B383" s="100"/>
      <c r="C383" s="90" t="s">
        <v>83</v>
      </c>
      <c r="D383" s="66" t="s">
        <v>65</v>
      </c>
      <c r="E383" s="96">
        <v>168000</v>
      </c>
      <c r="F383" s="159"/>
      <c r="G383" s="145"/>
      <c r="H383" s="145"/>
      <c r="I383" s="145"/>
      <c r="J383" s="145"/>
      <c r="K383" s="145"/>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row>
    <row r="384" spans="1:89" x14ac:dyDescent="0.2">
      <c r="B384" s="39"/>
      <c r="C384" s="48" t="s">
        <v>0</v>
      </c>
      <c r="D384" s="40"/>
      <c r="E384" s="21"/>
      <c r="F384" s="49">
        <f>SUM(E381:E383)</f>
        <v>387000</v>
      </c>
      <c r="G384" s="145"/>
      <c r="H384" s="145"/>
      <c r="I384" s="145"/>
      <c r="J384" s="145"/>
      <c r="K384" s="145"/>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row>
    <row r="385" spans="1:89" x14ac:dyDescent="0.2">
      <c r="B385" s="50"/>
      <c r="C385" s="50"/>
      <c r="D385" s="51"/>
      <c r="E385" s="52"/>
      <c r="F385" s="53"/>
      <c r="G385" s="145"/>
      <c r="H385" s="145"/>
      <c r="I385" s="145"/>
      <c r="J385" s="145"/>
      <c r="K385" s="145"/>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row>
    <row r="386" spans="1:89" ht="35" customHeight="1" x14ac:dyDescent="0.2">
      <c r="B386" s="39" t="s">
        <v>469</v>
      </c>
      <c r="C386" s="146" t="s">
        <v>67</v>
      </c>
      <c r="D386" s="40"/>
      <c r="E386" s="21"/>
      <c r="F386" s="58"/>
      <c r="G386" s="145"/>
      <c r="H386" s="145"/>
      <c r="I386" s="145"/>
      <c r="J386" s="145"/>
      <c r="K386" s="145"/>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row>
    <row r="387" spans="1:89" s="11" customFormat="1" x14ac:dyDescent="0.2">
      <c r="A387" s="165"/>
      <c r="B387" s="50"/>
      <c r="C387" s="196" t="s">
        <v>66</v>
      </c>
      <c r="D387" s="196"/>
      <c r="E387" s="196"/>
      <c r="F387" s="196"/>
      <c r="G387" s="90"/>
      <c r="H387" s="90"/>
      <c r="I387" s="90"/>
      <c r="J387" s="90"/>
      <c r="K387" s="90"/>
    </row>
    <row r="388" spans="1:89" s="11" customFormat="1" ht="17" x14ac:dyDescent="0.2">
      <c r="A388" s="166"/>
      <c r="B388" s="100"/>
      <c r="C388" s="163" t="s">
        <v>31</v>
      </c>
      <c r="D388" s="66" t="s">
        <v>529</v>
      </c>
      <c r="E388" s="154">
        <v>23000</v>
      </c>
      <c r="F388" s="159"/>
      <c r="G388" s="90"/>
      <c r="H388" s="90"/>
      <c r="I388" s="90"/>
      <c r="J388" s="90"/>
      <c r="K388" s="90"/>
    </row>
    <row r="389" spans="1:89" s="11" customFormat="1" ht="17" x14ac:dyDescent="0.2">
      <c r="A389" s="166"/>
      <c r="B389" s="100"/>
      <c r="C389" s="163" t="s">
        <v>578</v>
      </c>
      <c r="D389" s="66" t="s">
        <v>579</v>
      </c>
      <c r="E389" s="154">
        <f>550*120</f>
        <v>66000</v>
      </c>
      <c r="F389" s="159"/>
      <c r="G389" s="145"/>
      <c r="H389" s="145"/>
      <c r="I389" s="145"/>
      <c r="J389" s="145"/>
      <c r="K389" s="145"/>
    </row>
    <row r="390" spans="1:89" x14ac:dyDescent="0.2">
      <c r="B390" s="39"/>
      <c r="C390" s="48" t="s">
        <v>0</v>
      </c>
      <c r="D390" s="40"/>
      <c r="E390" s="21"/>
      <c r="F390" s="49">
        <f>SUM(E388:E389)</f>
        <v>89000</v>
      </c>
      <c r="G390" s="145"/>
      <c r="H390" s="145"/>
      <c r="I390" s="145"/>
      <c r="J390" s="145"/>
      <c r="K390" s="145"/>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row>
    <row r="391" spans="1:89" ht="16.25" customHeight="1" x14ac:dyDescent="0.2">
      <c r="B391" s="50"/>
      <c r="C391" s="50"/>
      <c r="D391" s="51"/>
      <c r="E391" s="52"/>
      <c r="F391" s="53"/>
      <c r="G391" s="145"/>
      <c r="H391" s="145"/>
      <c r="I391" s="145"/>
      <c r="J391" s="145"/>
      <c r="K391" s="145"/>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row>
    <row r="392" spans="1:89" ht="41" customHeight="1" x14ac:dyDescent="0.2">
      <c r="B392" s="39" t="s">
        <v>470</v>
      </c>
      <c r="C392" s="216" t="s">
        <v>68</v>
      </c>
      <c r="D392" s="216"/>
      <c r="E392" s="58"/>
      <c r="F392" s="21"/>
      <c r="G392" s="145"/>
      <c r="H392" s="145"/>
      <c r="I392" s="145"/>
      <c r="J392" s="145"/>
      <c r="K392" s="145"/>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row>
    <row r="393" spans="1:89" x14ac:dyDescent="0.2">
      <c r="B393" s="50"/>
      <c r="C393" s="199" t="s">
        <v>186</v>
      </c>
      <c r="D393" s="199"/>
      <c r="E393" s="199"/>
      <c r="F393" s="214"/>
      <c r="G393" s="145"/>
      <c r="H393" s="145"/>
      <c r="I393" s="145"/>
      <c r="J393" s="145"/>
      <c r="K393" s="145"/>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row>
    <row r="394" spans="1:89" ht="17" x14ac:dyDescent="0.2">
      <c r="B394" s="39"/>
      <c r="C394" s="46" t="s">
        <v>70</v>
      </c>
      <c r="D394" s="46" t="s">
        <v>531</v>
      </c>
      <c r="E394" s="44">
        <v>209000</v>
      </c>
      <c r="F394" s="70"/>
      <c r="G394" s="145"/>
      <c r="H394" s="145"/>
      <c r="I394" s="145"/>
      <c r="J394" s="145"/>
      <c r="K394" s="145"/>
    </row>
    <row r="395" spans="1:89" s="11" customFormat="1" ht="15" customHeight="1" x14ac:dyDescent="0.2">
      <c r="A395" s="180"/>
      <c r="B395" s="100"/>
      <c r="C395" s="66" t="s">
        <v>69</v>
      </c>
      <c r="D395" s="66" t="s">
        <v>197</v>
      </c>
      <c r="E395" s="154">
        <f>260*4*120</f>
        <v>124800</v>
      </c>
      <c r="F395" s="155"/>
      <c r="G395" s="148"/>
      <c r="H395" s="148"/>
      <c r="I395" s="148"/>
      <c r="J395" s="148"/>
      <c r="K395" s="148"/>
      <c r="L395" s="150"/>
    </row>
    <row r="396" spans="1:89" s="11" customFormat="1" ht="17" x14ac:dyDescent="0.2">
      <c r="A396" s="180"/>
      <c r="B396" s="100"/>
      <c r="C396" s="66" t="s">
        <v>391</v>
      </c>
      <c r="D396" s="66" t="s">
        <v>580</v>
      </c>
      <c r="E396" s="96">
        <f>40000*2</f>
        <v>80000</v>
      </c>
      <c r="F396" s="155"/>
      <c r="G396" s="148"/>
      <c r="H396" s="148"/>
      <c r="I396" s="148"/>
      <c r="J396" s="148"/>
      <c r="K396" s="148"/>
      <c r="L396" s="150"/>
    </row>
    <row r="397" spans="1:89" ht="17" x14ac:dyDescent="0.2">
      <c r="B397" s="39"/>
      <c r="C397" s="65" t="s">
        <v>0</v>
      </c>
      <c r="D397" s="65"/>
      <c r="E397" s="44"/>
      <c r="F397" s="49">
        <f>SUM(E394:E396)</f>
        <v>413800</v>
      </c>
      <c r="G397" s="145"/>
      <c r="H397" s="145"/>
      <c r="I397" s="145"/>
      <c r="J397" s="145"/>
      <c r="K397" s="145"/>
    </row>
    <row r="398" spans="1:89" x14ac:dyDescent="0.2">
      <c r="B398" s="50"/>
      <c r="C398" s="50"/>
      <c r="D398" s="51"/>
      <c r="E398" s="52"/>
      <c r="F398" s="53"/>
      <c r="G398" s="56">
        <f>+G338+G345+G353+G361+G369+G376+G383+G389+G394</f>
        <v>0</v>
      </c>
      <c r="H398" s="56">
        <f>+H338+H345+H353+H361+H369+H376+H383+H389+H394</f>
        <v>0</v>
      </c>
      <c r="I398" s="56">
        <f>+I338+I345+I353+I361+I369+I376+I383+I389+I394</f>
        <v>0</v>
      </c>
      <c r="J398" s="56">
        <f>+J338+J345+J353+J361+J369+J376+J383+J389+J394</f>
        <v>0</v>
      </c>
      <c r="K398" s="56">
        <f>+K338+K345+K353+K361+K369+K376+K383+K389+K394</f>
        <v>0</v>
      </c>
    </row>
    <row r="399" spans="1:89" ht="17" x14ac:dyDescent="0.2">
      <c r="B399" s="39"/>
      <c r="C399" s="145"/>
      <c r="D399" s="54" t="s">
        <v>71</v>
      </c>
      <c r="E399" s="55"/>
      <c r="F399" s="56">
        <f>+F339+F346+F354+F362+F370+F377+F384+F390+F397</f>
        <v>3340800</v>
      </c>
      <c r="G399" s="145"/>
      <c r="H399" s="145"/>
      <c r="I399" s="145"/>
      <c r="J399" s="145"/>
      <c r="K399" s="145"/>
    </row>
    <row r="400" spans="1:89" x14ac:dyDescent="0.2">
      <c r="B400" s="130">
        <v>5</v>
      </c>
      <c r="C400" s="222" t="s">
        <v>404</v>
      </c>
      <c r="D400" s="222"/>
      <c r="E400" s="83"/>
      <c r="F400" s="34"/>
      <c r="G400" s="145"/>
      <c r="H400" s="145"/>
      <c r="I400" s="145"/>
      <c r="J400" s="145"/>
      <c r="K400" s="145"/>
    </row>
    <row r="401" spans="1:89" x14ac:dyDescent="0.2">
      <c r="B401" s="39"/>
      <c r="C401" s="220"/>
      <c r="D401" s="220"/>
      <c r="E401" s="220"/>
      <c r="F401" s="221"/>
      <c r="G401" s="145"/>
      <c r="H401" s="145"/>
      <c r="I401" s="145"/>
      <c r="J401" s="145"/>
      <c r="K401" s="145"/>
    </row>
    <row r="402" spans="1:89" x14ac:dyDescent="0.2">
      <c r="B402" s="39" t="s">
        <v>471</v>
      </c>
      <c r="C402" s="98" t="s">
        <v>403</v>
      </c>
      <c r="D402" s="41"/>
      <c r="E402" s="42"/>
      <c r="F402" s="43"/>
      <c r="G402" s="145"/>
      <c r="H402" s="145"/>
      <c r="I402" s="145"/>
      <c r="J402" s="145"/>
      <c r="K402" s="145"/>
    </row>
    <row r="403" spans="1:89" x14ac:dyDescent="0.2">
      <c r="B403" s="39"/>
      <c r="C403" s="47" t="s">
        <v>401</v>
      </c>
      <c r="D403" s="41"/>
      <c r="E403" s="42"/>
      <c r="F403" s="43"/>
      <c r="G403" s="145"/>
      <c r="H403" s="145"/>
      <c r="I403" s="145"/>
      <c r="J403" s="145"/>
      <c r="K403" s="145"/>
    </row>
    <row r="404" spans="1:89" ht="17" x14ac:dyDescent="0.2">
      <c r="A404" s="166"/>
      <c r="B404" s="100"/>
      <c r="C404" s="90" t="s">
        <v>200</v>
      </c>
      <c r="D404" s="153" t="s">
        <v>560</v>
      </c>
      <c r="E404" s="154">
        <v>360000</v>
      </c>
      <c r="F404" s="159"/>
      <c r="G404" s="145"/>
      <c r="H404" s="145"/>
      <c r="I404" s="145"/>
      <c r="J404" s="145"/>
      <c r="K404" s="145"/>
    </row>
    <row r="405" spans="1:89" ht="17" x14ac:dyDescent="0.2">
      <c r="A405" s="166"/>
      <c r="B405" s="100"/>
      <c r="C405" s="90" t="s">
        <v>198</v>
      </c>
      <c r="D405" s="156" t="s">
        <v>519</v>
      </c>
      <c r="E405" s="154">
        <f>600*120</f>
        <v>72000</v>
      </c>
      <c r="F405" s="159"/>
      <c r="G405" s="145"/>
      <c r="H405" s="145"/>
      <c r="I405" s="145"/>
      <c r="J405" s="145"/>
      <c r="K405" s="145"/>
    </row>
    <row r="406" spans="1:89" s="10" customFormat="1" ht="17" x14ac:dyDescent="0.2">
      <c r="A406" s="166"/>
      <c r="B406" s="100"/>
      <c r="C406" s="90" t="s">
        <v>199</v>
      </c>
      <c r="D406" s="156" t="s">
        <v>572</v>
      </c>
      <c r="E406" s="154">
        <f>1600*120</f>
        <v>192000</v>
      </c>
      <c r="F406" s="159"/>
      <c r="G406" s="145"/>
      <c r="H406" s="145"/>
      <c r="I406" s="145"/>
      <c r="J406" s="145"/>
      <c r="K406" s="14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row>
    <row r="407" spans="1:89" ht="17" x14ac:dyDescent="0.2">
      <c r="A407" s="166"/>
      <c r="B407" s="100"/>
      <c r="C407" s="90" t="s">
        <v>402</v>
      </c>
      <c r="D407" s="156" t="s">
        <v>561</v>
      </c>
      <c r="E407" s="154">
        <v>240000</v>
      </c>
      <c r="F407" s="159"/>
      <c r="G407" s="145"/>
      <c r="H407" s="145"/>
      <c r="I407" s="145"/>
      <c r="J407" s="145"/>
      <c r="K407" s="145"/>
    </row>
    <row r="408" spans="1:89" s="11" customFormat="1" ht="17" x14ac:dyDescent="0.2">
      <c r="A408" s="166"/>
      <c r="B408" s="100"/>
      <c r="C408" s="90" t="s">
        <v>32</v>
      </c>
      <c r="D408" s="156" t="s">
        <v>560</v>
      </c>
      <c r="E408" s="154">
        <v>360000</v>
      </c>
      <c r="F408" s="159"/>
      <c r="G408" s="145"/>
      <c r="H408" s="145"/>
      <c r="I408" s="145"/>
      <c r="J408" s="145"/>
      <c r="K408" s="145"/>
    </row>
    <row r="409" spans="1:89" ht="17" x14ac:dyDescent="0.2">
      <c r="B409" s="39"/>
      <c r="C409" s="92" t="s">
        <v>0</v>
      </c>
      <c r="D409" s="92"/>
      <c r="E409" s="63"/>
      <c r="F409" s="63">
        <f>SUM(E404:E408)</f>
        <v>1224000</v>
      </c>
      <c r="G409" s="145"/>
      <c r="H409" s="145"/>
      <c r="I409" s="145"/>
      <c r="J409" s="145"/>
      <c r="K409" s="145"/>
    </row>
    <row r="410" spans="1:89" x14ac:dyDescent="0.2">
      <c r="B410" s="39"/>
      <c r="C410" s="62"/>
      <c r="D410" s="144"/>
      <c r="E410" s="99"/>
      <c r="F410" s="72"/>
      <c r="G410" s="145"/>
      <c r="H410" s="145"/>
      <c r="I410" s="145"/>
      <c r="J410" s="145"/>
      <c r="K410" s="145"/>
    </row>
    <row r="411" spans="1:89" x14ac:dyDescent="0.2">
      <c r="B411" s="39" t="s">
        <v>472</v>
      </c>
      <c r="C411" s="98" t="s">
        <v>405</v>
      </c>
      <c r="D411" s="41"/>
      <c r="E411" s="42"/>
      <c r="F411" s="43"/>
      <c r="G411" s="145"/>
      <c r="H411" s="145"/>
      <c r="I411" s="145"/>
      <c r="J411" s="145"/>
      <c r="K411" s="145"/>
    </row>
    <row r="412" spans="1:89" s="20" customFormat="1" x14ac:dyDescent="0.2">
      <c r="A412" s="165"/>
      <c r="B412" s="39"/>
      <c r="C412" s="47" t="s">
        <v>406</v>
      </c>
      <c r="D412" s="41"/>
      <c r="E412" s="42"/>
      <c r="F412" s="43"/>
      <c r="G412" s="145"/>
      <c r="H412" s="145"/>
      <c r="I412" s="145"/>
      <c r="J412" s="145"/>
      <c r="K412" s="14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row>
    <row r="413" spans="1:89" ht="17" x14ac:dyDescent="0.2">
      <c r="A413" s="166"/>
      <c r="B413" s="100"/>
      <c r="C413" s="90" t="s">
        <v>93</v>
      </c>
      <c r="D413" s="66" t="s">
        <v>505</v>
      </c>
      <c r="E413" s="154">
        <f>500*120</f>
        <v>60000</v>
      </c>
      <c r="F413" s="159"/>
      <c r="G413" s="145"/>
      <c r="H413" s="145"/>
      <c r="I413" s="145"/>
      <c r="J413" s="145"/>
      <c r="K413" s="145"/>
    </row>
    <row r="414" spans="1:89" ht="17" x14ac:dyDescent="0.2">
      <c r="A414" s="166"/>
      <c r="B414" s="100"/>
      <c r="C414" s="90" t="s">
        <v>199</v>
      </c>
      <c r="D414" s="66" t="s">
        <v>562</v>
      </c>
      <c r="E414" s="154">
        <f>1000*120</f>
        <v>120000</v>
      </c>
      <c r="F414" s="159"/>
      <c r="G414" s="145"/>
      <c r="H414" s="145"/>
      <c r="I414" s="145"/>
      <c r="J414" s="145"/>
      <c r="K414" s="145"/>
    </row>
    <row r="415" spans="1:89" s="11" customFormat="1" ht="17" x14ac:dyDescent="0.2">
      <c r="A415" s="166"/>
      <c r="B415" s="100"/>
      <c r="C415" s="90" t="s">
        <v>32</v>
      </c>
      <c r="D415" s="66" t="s">
        <v>562</v>
      </c>
      <c r="E415" s="154">
        <f>1000*120</f>
        <v>120000</v>
      </c>
      <c r="F415" s="159"/>
      <c r="G415" s="145"/>
      <c r="H415" s="145"/>
      <c r="I415" s="145"/>
      <c r="J415" s="145"/>
      <c r="K415" s="145"/>
    </row>
    <row r="416" spans="1:89" ht="17" x14ac:dyDescent="0.2">
      <c r="B416" s="39"/>
      <c r="C416" s="92" t="s">
        <v>0</v>
      </c>
      <c r="D416" s="92"/>
      <c r="E416" s="63"/>
      <c r="F416" s="63">
        <f>SUM(E413:E415)</f>
        <v>300000</v>
      </c>
      <c r="G416" s="145"/>
      <c r="H416" s="145"/>
      <c r="I416" s="145"/>
      <c r="J416" s="145"/>
      <c r="K416" s="145"/>
    </row>
    <row r="417" spans="1:89" x14ac:dyDescent="0.2">
      <c r="B417" s="39"/>
      <c r="C417" s="62"/>
      <c r="D417" s="144"/>
      <c r="E417" s="99"/>
      <c r="F417" s="72"/>
      <c r="G417" s="145"/>
      <c r="H417" s="145"/>
      <c r="I417" s="145"/>
      <c r="J417" s="145"/>
      <c r="K417" s="145"/>
    </row>
    <row r="418" spans="1:89" s="20" customFormat="1" x14ac:dyDescent="0.2">
      <c r="A418" s="165"/>
      <c r="B418" s="39" t="s">
        <v>473</v>
      </c>
      <c r="C418" s="98" t="s">
        <v>407</v>
      </c>
      <c r="D418" s="41"/>
      <c r="E418" s="42"/>
      <c r="F418" s="43"/>
      <c r="G418" s="145"/>
      <c r="H418" s="145"/>
      <c r="I418" s="145"/>
      <c r="J418" s="145"/>
      <c r="K418" s="14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c r="CH418" s="5"/>
      <c r="CI418" s="5"/>
      <c r="CJ418" s="5"/>
      <c r="CK418" s="5"/>
    </row>
    <row r="419" spans="1:89" x14ac:dyDescent="0.2">
      <c r="B419" s="39"/>
      <c r="C419" s="47" t="s">
        <v>406</v>
      </c>
      <c r="D419" s="41"/>
      <c r="E419" s="42"/>
      <c r="F419" s="43"/>
      <c r="G419" s="145"/>
      <c r="H419" s="145"/>
      <c r="I419" s="145"/>
      <c r="J419" s="145"/>
      <c r="K419" s="145"/>
    </row>
    <row r="420" spans="1:89" s="10" customFormat="1" ht="17" x14ac:dyDescent="0.2">
      <c r="A420" s="166"/>
      <c r="B420" s="100"/>
      <c r="C420" s="90" t="s">
        <v>93</v>
      </c>
      <c r="D420" s="156" t="s">
        <v>521</v>
      </c>
      <c r="E420" s="154">
        <f>120*500</f>
        <v>60000</v>
      </c>
      <c r="F420" s="159"/>
      <c r="G420" s="145"/>
      <c r="H420" s="145"/>
      <c r="I420" s="145"/>
      <c r="J420" s="145"/>
      <c r="K420" s="14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c r="CH420" s="5"/>
      <c r="CI420" s="5"/>
      <c r="CJ420" s="5"/>
      <c r="CK420" s="5"/>
    </row>
    <row r="421" spans="1:89" ht="17" x14ac:dyDescent="0.2">
      <c r="A421" s="166"/>
      <c r="B421" s="100"/>
      <c r="C421" s="90" t="s">
        <v>199</v>
      </c>
      <c r="D421" s="66" t="s">
        <v>562</v>
      </c>
      <c r="E421" s="154">
        <f>1000*120</f>
        <v>120000</v>
      </c>
      <c r="F421" s="159"/>
      <c r="G421" s="145"/>
      <c r="H421" s="145"/>
      <c r="I421" s="145"/>
      <c r="J421" s="145"/>
      <c r="K421" s="145"/>
    </row>
    <row r="422" spans="1:89" s="11" customFormat="1" ht="17" x14ac:dyDescent="0.2">
      <c r="A422" s="166"/>
      <c r="B422" s="100"/>
      <c r="C422" s="90" t="s">
        <v>32</v>
      </c>
      <c r="D422" s="66" t="s">
        <v>562</v>
      </c>
      <c r="E422" s="154">
        <f>120*1000</f>
        <v>120000</v>
      </c>
      <c r="F422" s="159"/>
      <c r="G422" s="145"/>
      <c r="H422" s="145"/>
      <c r="I422" s="145"/>
      <c r="J422" s="145"/>
      <c r="K422" s="145"/>
    </row>
    <row r="423" spans="1:89" ht="17" x14ac:dyDescent="0.2">
      <c r="B423" s="39"/>
      <c r="C423" s="92" t="s">
        <v>0</v>
      </c>
      <c r="D423" s="92"/>
      <c r="E423" s="63"/>
      <c r="F423" s="63">
        <f>SUM(E420:E422)</f>
        <v>300000</v>
      </c>
      <c r="G423" s="145"/>
      <c r="H423" s="145"/>
      <c r="I423" s="145"/>
      <c r="J423" s="145"/>
      <c r="K423" s="145"/>
    </row>
    <row r="424" spans="1:89" x14ac:dyDescent="0.2">
      <c r="B424" s="39"/>
      <c r="C424" s="62"/>
      <c r="D424" s="144"/>
      <c r="E424" s="99"/>
      <c r="F424" s="72"/>
      <c r="G424" s="145"/>
      <c r="H424" s="145"/>
      <c r="I424" s="145"/>
      <c r="J424" s="145"/>
      <c r="K424" s="145"/>
    </row>
    <row r="425" spans="1:89" s="20" customFormat="1" ht="34" x14ac:dyDescent="0.2">
      <c r="A425" s="165"/>
      <c r="B425" s="39" t="s">
        <v>474</v>
      </c>
      <c r="C425" s="85" t="s">
        <v>408</v>
      </c>
      <c r="D425" s="41"/>
      <c r="E425" s="42"/>
      <c r="F425" s="43"/>
      <c r="G425" s="145"/>
      <c r="H425" s="145"/>
      <c r="I425" s="145"/>
      <c r="J425" s="145"/>
      <c r="K425" s="14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row>
    <row r="426" spans="1:89" s="10" customFormat="1" ht="17" x14ac:dyDescent="0.2">
      <c r="A426" s="165"/>
      <c r="B426" s="39"/>
      <c r="C426" s="41" t="s">
        <v>406</v>
      </c>
      <c r="D426" s="41"/>
      <c r="E426" s="42"/>
      <c r="F426" s="43"/>
      <c r="G426" s="145"/>
      <c r="H426" s="145"/>
      <c r="I426" s="145"/>
      <c r="J426" s="145"/>
      <c r="K426" s="14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5"/>
      <c r="CI426" s="5"/>
      <c r="CJ426" s="5"/>
      <c r="CK426" s="5"/>
    </row>
    <row r="427" spans="1:89" ht="17" x14ac:dyDescent="0.2">
      <c r="A427" s="166"/>
      <c r="B427" s="100"/>
      <c r="C427" s="90" t="s">
        <v>200</v>
      </c>
      <c r="D427" s="156" t="s">
        <v>571</v>
      </c>
      <c r="E427" s="154">
        <v>200000</v>
      </c>
      <c r="F427" s="159"/>
      <c r="G427" s="145"/>
      <c r="H427" s="145"/>
      <c r="I427" s="145"/>
      <c r="J427" s="145"/>
      <c r="K427" s="145"/>
    </row>
    <row r="428" spans="1:89" ht="17" x14ac:dyDescent="0.2">
      <c r="A428" s="166"/>
      <c r="B428" s="100"/>
      <c r="C428" s="90" t="s">
        <v>409</v>
      </c>
      <c r="D428" s="66" t="s">
        <v>530</v>
      </c>
      <c r="E428" s="154">
        <f>400*120</f>
        <v>48000</v>
      </c>
      <c r="F428" s="159"/>
      <c r="G428" s="145"/>
      <c r="H428" s="145"/>
      <c r="I428" s="145"/>
      <c r="J428" s="145"/>
      <c r="K428" s="145"/>
    </row>
    <row r="429" spans="1:89" ht="17" x14ac:dyDescent="0.2">
      <c r="A429" s="166"/>
      <c r="B429" s="100"/>
      <c r="C429" s="90" t="s">
        <v>410</v>
      </c>
      <c r="D429" s="66" t="s">
        <v>519</v>
      </c>
      <c r="E429" s="154">
        <f>600*120</f>
        <v>72000</v>
      </c>
      <c r="F429" s="159"/>
      <c r="G429" s="145"/>
      <c r="H429" s="145"/>
      <c r="I429" s="145"/>
      <c r="J429" s="145"/>
      <c r="K429" s="145"/>
    </row>
    <row r="430" spans="1:89" s="11" customFormat="1" ht="17" x14ac:dyDescent="0.2">
      <c r="A430" s="166"/>
      <c r="B430" s="100"/>
      <c r="C430" s="90" t="s">
        <v>32</v>
      </c>
      <c r="D430" s="66" t="s">
        <v>552</v>
      </c>
      <c r="E430" s="154">
        <v>96000</v>
      </c>
      <c r="F430" s="159"/>
      <c r="G430" s="145"/>
      <c r="H430" s="145"/>
      <c r="I430" s="145"/>
      <c r="J430" s="145"/>
      <c r="K430" s="145"/>
    </row>
    <row r="431" spans="1:89" ht="17" x14ac:dyDescent="0.2">
      <c r="B431" s="39"/>
      <c r="C431" s="92" t="s">
        <v>0</v>
      </c>
      <c r="D431" s="92"/>
      <c r="E431" s="63"/>
      <c r="F431" s="63">
        <f>SUM(E427:E430)</f>
        <v>416000</v>
      </c>
      <c r="G431" s="145"/>
      <c r="H431" s="145"/>
      <c r="I431" s="145"/>
      <c r="J431" s="145"/>
      <c r="K431" s="145"/>
    </row>
    <row r="432" spans="1:89" s="10" customFormat="1" x14ac:dyDescent="0.2">
      <c r="A432" s="165"/>
      <c r="B432" s="39"/>
      <c r="C432" s="62"/>
      <c r="D432" s="144"/>
      <c r="E432" s="99"/>
      <c r="F432" s="72"/>
      <c r="G432" s="145"/>
      <c r="H432" s="145"/>
      <c r="I432" s="145"/>
      <c r="J432" s="145"/>
      <c r="K432" s="14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row>
    <row r="433" spans="1:89" s="20" customFormat="1" x14ac:dyDescent="0.2">
      <c r="A433" s="165"/>
      <c r="B433" s="39" t="s">
        <v>475</v>
      </c>
      <c r="C433" s="98" t="s">
        <v>411</v>
      </c>
      <c r="D433" s="41"/>
      <c r="E433" s="42"/>
      <c r="F433" s="43"/>
      <c r="G433" s="145"/>
      <c r="H433" s="145"/>
      <c r="I433" s="145"/>
      <c r="J433" s="145"/>
      <c r="K433" s="14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c r="BS433" s="5"/>
      <c r="BT433" s="5"/>
      <c r="BU433" s="5"/>
      <c r="BV433" s="5"/>
      <c r="BW433" s="5"/>
      <c r="BX433" s="5"/>
      <c r="BY433" s="5"/>
      <c r="BZ433" s="5"/>
      <c r="CA433" s="5"/>
      <c r="CB433" s="5"/>
      <c r="CC433" s="5"/>
      <c r="CD433" s="5"/>
      <c r="CE433" s="5"/>
      <c r="CF433" s="5"/>
      <c r="CG433" s="5"/>
      <c r="CH433" s="5"/>
      <c r="CI433" s="5"/>
      <c r="CJ433" s="5"/>
      <c r="CK433" s="5"/>
    </row>
    <row r="434" spans="1:89" s="10" customFormat="1" x14ac:dyDescent="0.2">
      <c r="A434" s="165"/>
      <c r="B434" s="39"/>
      <c r="C434" s="47" t="s">
        <v>406</v>
      </c>
      <c r="D434" s="41"/>
      <c r="E434" s="42"/>
      <c r="F434" s="43"/>
      <c r="G434" s="145"/>
      <c r="H434" s="145"/>
      <c r="I434" s="145"/>
      <c r="J434" s="145"/>
      <c r="K434" s="14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c r="BS434" s="5"/>
      <c r="BT434" s="5"/>
      <c r="BU434" s="5"/>
      <c r="BV434" s="5"/>
      <c r="BW434" s="5"/>
      <c r="BX434" s="5"/>
      <c r="BY434" s="5"/>
      <c r="BZ434" s="5"/>
      <c r="CA434" s="5"/>
      <c r="CB434" s="5"/>
      <c r="CC434" s="5"/>
      <c r="CD434" s="5"/>
      <c r="CE434" s="5"/>
      <c r="CF434" s="5"/>
      <c r="CG434" s="5"/>
      <c r="CH434" s="5"/>
      <c r="CI434" s="5"/>
      <c r="CJ434" s="5"/>
      <c r="CK434" s="5"/>
    </row>
    <row r="435" spans="1:89" s="10" customFormat="1" ht="17" x14ac:dyDescent="0.2">
      <c r="A435" s="166"/>
      <c r="B435" s="100"/>
      <c r="C435" s="90" t="s">
        <v>200</v>
      </c>
      <c r="D435" s="156" t="s">
        <v>534</v>
      </c>
      <c r="E435" s="154">
        <f>2200*120</f>
        <v>264000</v>
      </c>
      <c r="F435" s="159"/>
      <c r="G435" s="145"/>
      <c r="H435" s="145"/>
      <c r="I435" s="145"/>
      <c r="J435" s="145"/>
      <c r="K435" s="14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c r="BS435" s="5"/>
      <c r="BT435" s="5"/>
      <c r="BU435" s="5"/>
      <c r="BV435" s="5"/>
      <c r="BW435" s="5"/>
      <c r="BX435" s="5"/>
      <c r="BY435" s="5"/>
      <c r="BZ435" s="5"/>
      <c r="CA435" s="5"/>
      <c r="CB435" s="5"/>
      <c r="CC435" s="5"/>
      <c r="CD435" s="5"/>
      <c r="CE435" s="5"/>
      <c r="CF435" s="5"/>
      <c r="CG435" s="5"/>
      <c r="CH435" s="5"/>
      <c r="CI435" s="5"/>
      <c r="CJ435" s="5"/>
      <c r="CK435" s="5"/>
    </row>
    <row r="436" spans="1:89" s="10" customFormat="1" ht="17" x14ac:dyDescent="0.2">
      <c r="A436" s="166"/>
      <c r="B436" s="100"/>
      <c r="C436" s="90" t="s">
        <v>269</v>
      </c>
      <c r="D436" s="156" t="s">
        <v>519</v>
      </c>
      <c r="E436" s="154">
        <f>600*120</f>
        <v>72000</v>
      </c>
      <c r="F436" s="159"/>
      <c r="G436" s="145"/>
      <c r="H436" s="145"/>
      <c r="I436" s="145"/>
      <c r="J436" s="145"/>
      <c r="K436" s="14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c r="BS436" s="5"/>
      <c r="BT436" s="5"/>
      <c r="BU436" s="5"/>
      <c r="BV436" s="5"/>
      <c r="BW436" s="5"/>
      <c r="BX436" s="5"/>
      <c r="BY436" s="5"/>
      <c r="BZ436" s="5"/>
      <c r="CA436" s="5"/>
      <c r="CB436" s="5"/>
      <c r="CC436" s="5"/>
      <c r="CD436" s="5"/>
      <c r="CE436" s="5"/>
      <c r="CF436" s="5"/>
      <c r="CG436" s="5"/>
      <c r="CH436" s="5"/>
      <c r="CI436" s="5"/>
      <c r="CJ436" s="5"/>
      <c r="CK436" s="5"/>
    </row>
    <row r="437" spans="1:89" s="10" customFormat="1" ht="17" x14ac:dyDescent="0.2">
      <c r="A437" s="166"/>
      <c r="B437" s="100"/>
      <c r="C437" s="90" t="s">
        <v>270</v>
      </c>
      <c r="D437" s="156" t="s">
        <v>562</v>
      </c>
      <c r="E437" s="154">
        <v>120000</v>
      </c>
      <c r="F437" s="159"/>
      <c r="G437" s="145"/>
      <c r="H437" s="145"/>
      <c r="I437" s="145"/>
      <c r="J437" s="145"/>
      <c r="K437" s="14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5"/>
      <c r="BT437" s="5"/>
      <c r="BU437" s="5"/>
      <c r="BV437" s="5"/>
      <c r="BW437" s="5"/>
      <c r="BX437" s="5"/>
      <c r="BY437" s="5"/>
      <c r="BZ437" s="5"/>
      <c r="CA437" s="5"/>
      <c r="CB437" s="5"/>
      <c r="CC437" s="5"/>
      <c r="CD437" s="5"/>
      <c r="CE437" s="5"/>
      <c r="CF437" s="5"/>
      <c r="CG437" s="5"/>
      <c r="CH437" s="5"/>
      <c r="CI437" s="5"/>
      <c r="CJ437" s="5"/>
      <c r="CK437" s="5"/>
    </row>
    <row r="438" spans="1:89" s="10" customFormat="1" ht="17" x14ac:dyDescent="0.2">
      <c r="A438" s="166"/>
      <c r="B438" s="100"/>
      <c r="C438" s="90" t="s">
        <v>92</v>
      </c>
      <c r="D438" s="156" t="s">
        <v>563</v>
      </c>
      <c r="E438" s="187">
        <f>300*120</f>
        <v>36000</v>
      </c>
      <c r="F438" s="159"/>
      <c r="G438" s="145"/>
      <c r="H438" s="145"/>
      <c r="I438" s="145"/>
      <c r="J438" s="145"/>
      <c r="K438" s="14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row>
    <row r="439" spans="1:89" s="11" customFormat="1" ht="17" x14ac:dyDescent="0.2">
      <c r="A439" s="166"/>
      <c r="B439" s="100"/>
      <c r="C439" s="90" t="s">
        <v>32</v>
      </c>
      <c r="D439" s="156" t="s">
        <v>562</v>
      </c>
      <c r="E439" s="154">
        <v>120000</v>
      </c>
      <c r="F439" s="159"/>
      <c r="G439" s="145"/>
      <c r="H439" s="145"/>
      <c r="I439" s="145"/>
      <c r="J439" s="145"/>
      <c r="K439" s="145"/>
    </row>
    <row r="440" spans="1:89" s="10" customFormat="1" ht="17" x14ac:dyDescent="0.2">
      <c r="A440" s="165"/>
      <c r="B440" s="39"/>
      <c r="C440" s="92" t="s">
        <v>0</v>
      </c>
      <c r="D440" s="92"/>
      <c r="E440" s="63"/>
      <c r="F440" s="63">
        <f>SUM(E435:E439)</f>
        <v>612000</v>
      </c>
      <c r="G440" s="145"/>
      <c r="H440" s="145"/>
      <c r="I440" s="145"/>
      <c r="J440" s="145"/>
      <c r="K440" s="14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5"/>
      <c r="CI440" s="5"/>
      <c r="CJ440" s="5"/>
      <c r="CK440" s="5"/>
    </row>
    <row r="441" spans="1:89" s="10" customFormat="1" x14ac:dyDescent="0.2">
      <c r="A441" s="165"/>
      <c r="B441" s="39"/>
      <c r="C441" s="92"/>
      <c r="D441" s="92"/>
      <c r="E441" s="63"/>
      <c r="F441" s="63"/>
      <c r="G441" s="145"/>
      <c r="H441" s="145"/>
      <c r="I441" s="145"/>
      <c r="J441" s="145"/>
      <c r="K441" s="14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c r="CJ441" s="5"/>
      <c r="CK441" s="5"/>
    </row>
    <row r="442" spans="1:89" s="20" customFormat="1" x14ac:dyDescent="0.2">
      <c r="A442" s="165"/>
      <c r="B442" s="39" t="s">
        <v>476</v>
      </c>
      <c r="C442" s="100" t="s">
        <v>425</v>
      </c>
      <c r="D442" s="41"/>
      <c r="E442" s="42"/>
      <c r="F442" s="43"/>
      <c r="G442" s="145"/>
      <c r="H442" s="145"/>
      <c r="I442" s="145"/>
      <c r="J442" s="145"/>
      <c r="K442" s="14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c r="CJ442" s="5"/>
      <c r="CK442" s="5"/>
    </row>
    <row r="443" spans="1:89" s="10" customFormat="1" x14ac:dyDescent="0.2">
      <c r="A443" s="165"/>
      <c r="B443" s="39"/>
      <c r="C443" s="47" t="s">
        <v>406</v>
      </c>
      <c r="D443" s="41"/>
      <c r="E443" s="42"/>
      <c r="F443" s="43"/>
      <c r="G443" s="145"/>
      <c r="H443" s="145"/>
      <c r="I443" s="145"/>
      <c r="J443" s="145"/>
      <c r="K443" s="14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row>
    <row r="444" spans="1:89" s="10" customFormat="1" ht="17" x14ac:dyDescent="0.2">
      <c r="A444" s="166"/>
      <c r="B444" s="100"/>
      <c r="C444" s="90" t="s">
        <v>200</v>
      </c>
      <c r="D444" s="156" t="s">
        <v>534</v>
      </c>
      <c r="E444" s="154">
        <f>2200*120</f>
        <v>264000</v>
      </c>
      <c r="F444" s="159"/>
      <c r="G444" s="145"/>
      <c r="H444" s="145"/>
      <c r="I444" s="145"/>
      <c r="J444" s="145"/>
      <c r="K444" s="14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row>
    <row r="445" spans="1:89" s="10" customFormat="1" ht="17" x14ac:dyDescent="0.2">
      <c r="A445" s="166"/>
      <c r="B445" s="100"/>
      <c r="C445" s="90" t="s">
        <v>269</v>
      </c>
      <c r="D445" s="156" t="s">
        <v>552</v>
      </c>
      <c r="E445" s="154">
        <f>800*120</f>
        <v>96000</v>
      </c>
      <c r="F445" s="159"/>
      <c r="G445" s="145"/>
      <c r="H445" s="145"/>
      <c r="I445" s="145"/>
      <c r="J445" s="145"/>
      <c r="K445" s="14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5"/>
      <c r="CI445" s="5"/>
      <c r="CJ445" s="5"/>
      <c r="CK445" s="5"/>
    </row>
    <row r="446" spans="1:89" s="20" customFormat="1" ht="15" customHeight="1" x14ac:dyDescent="0.2">
      <c r="A446" s="166"/>
      <c r="B446" s="100"/>
      <c r="C446" s="90" t="s">
        <v>270</v>
      </c>
      <c r="D446" s="156" t="s">
        <v>565</v>
      </c>
      <c r="E446" s="154">
        <f>120000</f>
        <v>120000</v>
      </c>
      <c r="F446" s="159"/>
      <c r="G446" s="145"/>
      <c r="H446" s="145"/>
      <c r="I446" s="145"/>
      <c r="J446" s="145"/>
      <c r="K446" s="14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row>
    <row r="447" spans="1:89" s="20" customFormat="1" ht="17" x14ac:dyDescent="0.2">
      <c r="A447" s="166"/>
      <c r="B447" s="100"/>
      <c r="C447" s="90" t="s">
        <v>412</v>
      </c>
      <c r="D447" s="156" t="s">
        <v>552</v>
      </c>
      <c r="E447" s="154">
        <v>96000</v>
      </c>
      <c r="F447" s="159"/>
      <c r="G447" s="145"/>
      <c r="H447" s="145"/>
      <c r="I447" s="145"/>
      <c r="J447" s="145"/>
      <c r="K447" s="14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5"/>
      <c r="BV447" s="5"/>
      <c r="BW447" s="5"/>
      <c r="BX447" s="5"/>
      <c r="BY447" s="5"/>
      <c r="BZ447" s="5"/>
      <c r="CA447" s="5"/>
      <c r="CB447" s="5"/>
      <c r="CC447" s="5"/>
      <c r="CD447" s="5"/>
      <c r="CE447" s="5"/>
      <c r="CF447" s="5"/>
      <c r="CG447" s="5"/>
      <c r="CH447" s="5"/>
      <c r="CI447" s="5"/>
      <c r="CJ447" s="5"/>
      <c r="CK447" s="5"/>
    </row>
    <row r="448" spans="1:89" s="11" customFormat="1" ht="17" x14ac:dyDescent="0.2">
      <c r="A448" s="166"/>
      <c r="B448" s="100"/>
      <c r="C448" s="90" t="s">
        <v>32</v>
      </c>
      <c r="D448" s="156" t="s">
        <v>566</v>
      </c>
      <c r="E448" s="154">
        <f>1200*120</f>
        <v>144000</v>
      </c>
      <c r="F448" s="159"/>
      <c r="G448" s="145"/>
      <c r="H448" s="145"/>
      <c r="I448" s="145"/>
      <c r="J448" s="145"/>
      <c r="K448" s="145"/>
    </row>
    <row r="449" spans="1:89" s="20" customFormat="1" ht="17" x14ac:dyDescent="0.2">
      <c r="A449" s="165"/>
      <c r="B449" s="39"/>
      <c r="C449" s="92" t="s">
        <v>0</v>
      </c>
      <c r="D449" s="92"/>
      <c r="E449" s="63"/>
      <c r="F449" s="63">
        <f>SUM(E444:E448)</f>
        <v>720000</v>
      </c>
      <c r="G449" s="145"/>
      <c r="H449" s="145"/>
      <c r="I449" s="145"/>
      <c r="J449" s="145"/>
      <c r="K449" s="14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c r="BV449" s="5"/>
      <c r="BW449" s="5"/>
      <c r="BX449" s="5"/>
      <c r="BY449" s="5"/>
      <c r="BZ449" s="5"/>
      <c r="CA449" s="5"/>
      <c r="CB449" s="5"/>
      <c r="CC449" s="5"/>
      <c r="CD449" s="5"/>
      <c r="CE449" s="5"/>
      <c r="CF449" s="5"/>
      <c r="CG449" s="5"/>
      <c r="CH449" s="5"/>
      <c r="CI449" s="5"/>
      <c r="CJ449" s="5"/>
      <c r="CK449" s="5"/>
    </row>
    <row r="450" spans="1:89" s="20" customFormat="1" x14ac:dyDescent="0.2">
      <c r="A450" s="165"/>
      <c r="B450" s="39"/>
      <c r="C450" s="92"/>
      <c r="D450" s="92"/>
      <c r="E450" s="63"/>
      <c r="F450" s="63"/>
      <c r="G450" s="145"/>
      <c r="H450" s="145"/>
      <c r="I450" s="145"/>
      <c r="J450" s="145"/>
      <c r="K450" s="14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5"/>
      <c r="BV450" s="5"/>
      <c r="BW450" s="5"/>
      <c r="BX450" s="5"/>
      <c r="BY450" s="5"/>
      <c r="BZ450" s="5"/>
      <c r="CA450" s="5"/>
      <c r="CB450" s="5"/>
      <c r="CC450" s="5"/>
      <c r="CD450" s="5"/>
      <c r="CE450" s="5"/>
      <c r="CF450" s="5"/>
      <c r="CG450" s="5"/>
      <c r="CH450" s="5"/>
      <c r="CI450" s="5"/>
      <c r="CJ450" s="5"/>
      <c r="CK450" s="5"/>
    </row>
    <row r="451" spans="1:89" s="20" customFormat="1" x14ac:dyDescent="0.2">
      <c r="A451" s="165"/>
      <c r="B451" s="39" t="s">
        <v>477</v>
      </c>
      <c r="C451" s="98" t="s">
        <v>424</v>
      </c>
      <c r="D451" s="41"/>
      <c r="E451" s="42"/>
      <c r="F451" s="43"/>
      <c r="G451" s="145"/>
      <c r="H451" s="145"/>
      <c r="I451" s="145"/>
      <c r="J451" s="145"/>
      <c r="K451" s="14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row>
    <row r="452" spans="1:89" s="20" customFormat="1" x14ac:dyDescent="0.2">
      <c r="A452" s="165"/>
      <c r="B452" s="39"/>
      <c r="C452" s="47" t="s">
        <v>406</v>
      </c>
      <c r="D452" s="41"/>
      <c r="E452" s="42"/>
      <c r="F452" s="43"/>
      <c r="G452" s="145"/>
      <c r="H452" s="145"/>
      <c r="I452" s="145"/>
      <c r="J452" s="145"/>
      <c r="K452" s="14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5"/>
      <c r="CG452" s="5"/>
      <c r="CH452" s="5"/>
      <c r="CI452" s="5"/>
      <c r="CJ452" s="5"/>
      <c r="CK452" s="5"/>
    </row>
    <row r="453" spans="1:89" s="20" customFormat="1" ht="17" x14ac:dyDescent="0.2">
      <c r="A453" s="166"/>
      <c r="B453" s="100"/>
      <c r="C453" s="90" t="s">
        <v>200</v>
      </c>
      <c r="D453" s="156" t="s">
        <v>560</v>
      </c>
      <c r="E453" s="154">
        <f>3000*120</f>
        <v>360000</v>
      </c>
      <c r="F453" s="159"/>
      <c r="G453" s="145"/>
      <c r="H453" s="145"/>
      <c r="I453" s="145"/>
      <c r="J453" s="145"/>
      <c r="K453" s="14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5"/>
      <c r="CH453" s="5"/>
      <c r="CI453" s="5"/>
      <c r="CJ453" s="5"/>
      <c r="CK453" s="5"/>
    </row>
    <row r="454" spans="1:89" s="20" customFormat="1" ht="17" x14ac:dyDescent="0.2">
      <c r="A454" s="166"/>
      <c r="B454" s="100"/>
      <c r="C454" s="90" t="s">
        <v>269</v>
      </c>
      <c r="D454" s="156" t="s">
        <v>519</v>
      </c>
      <c r="E454" s="154">
        <f>600*120</f>
        <v>72000</v>
      </c>
      <c r="F454" s="159"/>
      <c r="G454" s="145"/>
      <c r="H454" s="145"/>
      <c r="I454" s="145"/>
      <c r="J454" s="145"/>
      <c r="K454" s="14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row>
    <row r="455" spans="1:89" s="20" customFormat="1" ht="17" x14ac:dyDescent="0.2">
      <c r="A455" s="166"/>
      <c r="B455" s="100"/>
      <c r="C455" s="90" t="s">
        <v>270</v>
      </c>
      <c r="D455" s="156" t="s">
        <v>562</v>
      </c>
      <c r="E455" s="154">
        <f>1000*120</f>
        <v>120000</v>
      </c>
      <c r="F455" s="159"/>
      <c r="G455" s="145"/>
      <c r="H455" s="145"/>
      <c r="I455" s="145"/>
      <c r="J455" s="145"/>
      <c r="K455" s="14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5"/>
      <c r="BT455" s="5"/>
      <c r="BU455" s="5"/>
      <c r="BV455" s="5"/>
      <c r="BW455" s="5"/>
      <c r="BX455" s="5"/>
      <c r="BY455" s="5"/>
      <c r="BZ455" s="5"/>
      <c r="CA455" s="5"/>
      <c r="CB455" s="5"/>
      <c r="CC455" s="5"/>
      <c r="CD455" s="5"/>
      <c r="CE455" s="5"/>
      <c r="CF455" s="5"/>
      <c r="CG455" s="5"/>
      <c r="CH455" s="5"/>
      <c r="CI455" s="5"/>
      <c r="CJ455" s="5"/>
      <c r="CK455" s="5"/>
    </row>
    <row r="456" spans="1:89" s="11" customFormat="1" ht="17" x14ac:dyDescent="0.2">
      <c r="A456" s="166"/>
      <c r="B456" s="100"/>
      <c r="C456" s="90" t="s">
        <v>32</v>
      </c>
      <c r="D456" s="156" t="s">
        <v>567</v>
      </c>
      <c r="E456" s="154">
        <f>2500*120</f>
        <v>300000</v>
      </c>
      <c r="F456" s="159"/>
      <c r="G456" s="145"/>
      <c r="H456" s="145"/>
      <c r="I456" s="145"/>
      <c r="J456" s="145"/>
      <c r="K456" s="145"/>
    </row>
    <row r="457" spans="1:89" s="20" customFormat="1" ht="17" x14ac:dyDescent="0.2">
      <c r="A457" s="165"/>
      <c r="B457" s="39"/>
      <c r="C457" s="92" t="s">
        <v>0</v>
      </c>
      <c r="D457" s="92"/>
      <c r="E457" s="63"/>
      <c r="F457" s="63">
        <f>SUM(E453:E456)</f>
        <v>852000</v>
      </c>
      <c r="G457" s="145"/>
      <c r="H457" s="145"/>
      <c r="I457" s="145"/>
      <c r="J457" s="145"/>
      <c r="K457" s="14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row>
    <row r="458" spans="1:89" s="20" customFormat="1" x14ac:dyDescent="0.2">
      <c r="A458" s="165"/>
      <c r="B458" s="39"/>
      <c r="C458" s="92"/>
      <c r="D458" s="92"/>
      <c r="E458" s="63"/>
      <c r="F458" s="63"/>
      <c r="G458" s="145"/>
      <c r="H458" s="145"/>
      <c r="I458" s="145"/>
      <c r="J458" s="145"/>
      <c r="K458" s="14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row>
    <row r="459" spans="1:89" s="20" customFormat="1" x14ac:dyDescent="0.2">
      <c r="A459" s="165"/>
      <c r="B459" s="39" t="s">
        <v>478</v>
      </c>
      <c r="C459" s="98" t="s">
        <v>415</v>
      </c>
      <c r="D459" s="41"/>
      <c r="E459" s="42"/>
      <c r="F459" s="43"/>
      <c r="G459" s="145"/>
      <c r="H459" s="145"/>
      <c r="I459" s="145"/>
      <c r="J459" s="145"/>
      <c r="K459" s="14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row>
    <row r="460" spans="1:89" s="20" customFormat="1" x14ac:dyDescent="0.2">
      <c r="A460" s="165"/>
      <c r="B460" s="39"/>
      <c r="C460" s="47" t="s">
        <v>406</v>
      </c>
      <c r="D460" s="41"/>
      <c r="E460" s="42"/>
      <c r="F460" s="43"/>
      <c r="G460" s="145"/>
      <c r="H460" s="145"/>
      <c r="I460" s="145"/>
      <c r="J460" s="145"/>
      <c r="K460" s="14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row>
    <row r="461" spans="1:89" s="20" customFormat="1" ht="17" x14ac:dyDescent="0.2">
      <c r="A461" s="166"/>
      <c r="B461" s="100"/>
      <c r="C461" s="90" t="s">
        <v>200</v>
      </c>
      <c r="D461" s="156" t="s">
        <v>583</v>
      </c>
      <c r="E461" s="154">
        <v>313000</v>
      </c>
      <c r="F461" s="159"/>
      <c r="G461" s="145"/>
      <c r="H461" s="145"/>
      <c r="I461" s="145"/>
      <c r="J461" s="145"/>
      <c r="K461" s="14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row>
    <row r="462" spans="1:89" s="20" customFormat="1" x14ac:dyDescent="0.2">
      <c r="A462" s="166"/>
      <c r="B462" s="100"/>
      <c r="C462" s="90" t="s">
        <v>413</v>
      </c>
      <c r="D462" s="156"/>
      <c r="E462" s="154"/>
      <c r="F462" s="159"/>
      <c r="G462" s="145"/>
      <c r="H462" s="145"/>
      <c r="I462" s="145"/>
      <c r="J462" s="145"/>
      <c r="K462" s="14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row>
    <row r="463" spans="1:89" s="20" customFormat="1" ht="17" x14ac:dyDescent="0.2">
      <c r="A463" s="166"/>
      <c r="B463" s="100"/>
      <c r="C463" s="90" t="s">
        <v>414</v>
      </c>
      <c r="D463" s="156" t="s">
        <v>576</v>
      </c>
      <c r="E463" s="154">
        <v>200000</v>
      </c>
      <c r="F463" s="159"/>
      <c r="G463" s="145"/>
      <c r="H463" s="145"/>
      <c r="I463" s="145"/>
      <c r="J463" s="145"/>
      <c r="K463" s="14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row>
    <row r="464" spans="1:89" s="20" customFormat="1" ht="17" x14ac:dyDescent="0.2">
      <c r="A464" s="166"/>
      <c r="B464" s="100"/>
      <c r="C464" s="90" t="s">
        <v>270</v>
      </c>
      <c r="D464" s="156" t="s">
        <v>570</v>
      </c>
      <c r="E464" s="154">
        <f>2000*120</f>
        <v>240000</v>
      </c>
      <c r="F464" s="159"/>
      <c r="G464" s="145"/>
      <c r="H464" s="145"/>
      <c r="I464" s="145"/>
      <c r="J464" s="145"/>
      <c r="K464" s="14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row>
    <row r="465" spans="1:89" s="11" customFormat="1" ht="17" x14ac:dyDescent="0.2">
      <c r="A465" s="166"/>
      <c r="B465" s="100"/>
      <c r="C465" s="90" t="s">
        <v>32</v>
      </c>
      <c r="D465" s="156" t="s">
        <v>577</v>
      </c>
      <c r="E465" s="154">
        <f>3000*120</f>
        <v>360000</v>
      </c>
      <c r="F465" s="159"/>
      <c r="G465" s="145"/>
      <c r="H465" s="145"/>
      <c r="I465" s="145"/>
      <c r="J465" s="145"/>
      <c r="K465" s="145"/>
    </row>
    <row r="466" spans="1:89" s="20" customFormat="1" ht="17" x14ac:dyDescent="0.2">
      <c r="A466" s="165"/>
      <c r="B466" s="39"/>
      <c r="C466" s="92" t="s">
        <v>0</v>
      </c>
      <c r="D466" s="92"/>
      <c r="E466" s="63"/>
      <c r="F466" s="63">
        <f>SUM(E461:E465)</f>
        <v>1113000</v>
      </c>
      <c r="G466" s="145"/>
      <c r="H466" s="145"/>
      <c r="I466" s="145"/>
      <c r="J466" s="145"/>
      <c r="K466" s="14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row>
    <row r="467" spans="1:89" s="20" customFormat="1" x14ac:dyDescent="0.2">
      <c r="A467" s="165"/>
      <c r="B467" s="39"/>
      <c r="C467" s="92"/>
      <c r="D467" s="92"/>
      <c r="E467" s="63"/>
      <c r="F467" s="63"/>
      <c r="G467" s="145"/>
      <c r="H467" s="145"/>
      <c r="I467" s="145"/>
      <c r="J467" s="145"/>
      <c r="K467" s="14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row>
    <row r="468" spans="1:89" s="20" customFormat="1" x14ac:dyDescent="0.2">
      <c r="A468" s="165"/>
      <c r="B468" s="39"/>
      <c r="C468" s="92"/>
      <c r="D468" s="92"/>
      <c r="E468" s="63"/>
      <c r="F468" s="63"/>
      <c r="G468" s="145"/>
      <c r="H468" s="145"/>
      <c r="I468" s="145"/>
      <c r="J468" s="145"/>
      <c r="K468" s="14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row>
    <row r="469" spans="1:89" s="20" customFormat="1" x14ac:dyDescent="0.2">
      <c r="A469" s="165"/>
      <c r="B469" s="39" t="s">
        <v>479</v>
      </c>
      <c r="C469" s="98" t="s">
        <v>416</v>
      </c>
      <c r="D469" s="41"/>
      <c r="E469" s="42"/>
      <c r="F469" s="43"/>
      <c r="G469" s="145"/>
      <c r="H469" s="145"/>
      <c r="I469" s="145"/>
      <c r="J469" s="145"/>
      <c r="K469" s="14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row>
    <row r="470" spans="1:89" s="20" customFormat="1" x14ac:dyDescent="0.2">
      <c r="A470" s="167"/>
      <c r="B470" s="39"/>
      <c r="C470" s="47" t="s">
        <v>406</v>
      </c>
      <c r="D470" s="41"/>
      <c r="E470" s="42"/>
      <c r="F470" s="43"/>
      <c r="G470" s="145"/>
      <c r="H470" s="145"/>
      <c r="I470" s="145"/>
      <c r="J470" s="145"/>
      <c r="K470" s="14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row>
    <row r="471" spans="1:89" s="20" customFormat="1" ht="17" x14ac:dyDescent="0.2">
      <c r="A471" s="166"/>
      <c r="B471" s="100"/>
      <c r="C471" s="90" t="s">
        <v>157</v>
      </c>
      <c r="D471" s="156" t="s">
        <v>537</v>
      </c>
      <c r="E471" s="154">
        <v>420000</v>
      </c>
      <c r="F471" s="159"/>
      <c r="G471" s="145"/>
      <c r="H471" s="145"/>
      <c r="I471" s="145"/>
      <c r="J471" s="145"/>
      <c r="K471" s="14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row>
    <row r="472" spans="1:89" s="20" customFormat="1" ht="17" x14ac:dyDescent="0.2">
      <c r="A472" s="166"/>
      <c r="B472" s="100"/>
      <c r="C472" s="90" t="s">
        <v>31</v>
      </c>
      <c r="D472" s="156" t="s">
        <v>532</v>
      </c>
      <c r="E472" s="154">
        <v>352000</v>
      </c>
      <c r="F472" s="159"/>
      <c r="G472" s="145"/>
      <c r="H472" s="145"/>
      <c r="I472" s="145"/>
      <c r="J472" s="145"/>
      <c r="K472" s="14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row>
    <row r="473" spans="1:89" s="20" customFormat="1" ht="17" x14ac:dyDescent="0.2">
      <c r="A473" s="166"/>
      <c r="B473" s="100"/>
      <c r="C473" s="90" t="s">
        <v>270</v>
      </c>
      <c r="D473" s="156" t="s">
        <v>569</v>
      </c>
      <c r="E473" s="154">
        <f>1200*120</f>
        <v>144000</v>
      </c>
      <c r="F473" s="159"/>
      <c r="G473" s="145"/>
      <c r="H473" s="145"/>
      <c r="I473" s="145"/>
      <c r="J473" s="145"/>
      <c r="K473" s="14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row>
    <row r="474" spans="1:89" s="20" customFormat="1" ht="17" x14ac:dyDescent="0.2">
      <c r="A474" s="166"/>
      <c r="B474" s="100"/>
      <c r="C474" s="90" t="s">
        <v>92</v>
      </c>
      <c r="D474" s="156" t="s">
        <v>505</v>
      </c>
      <c r="E474" s="187">
        <f>500*120</f>
        <v>60000</v>
      </c>
      <c r="F474" s="159"/>
      <c r="G474" s="145"/>
      <c r="H474" s="145"/>
      <c r="I474" s="145"/>
      <c r="J474" s="145"/>
      <c r="K474" s="14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row>
    <row r="475" spans="1:89" s="11" customFormat="1" ht="17" x14ac:dyDescent="0.2">
      <c r="A475" s="166"/>
      <c r="B475" s="100"/>
      <c r="C475" s="90" t="s">
        <v>32</v>
      </c>
      <c r="D475" s="156" t="s">
        <v>564</v>
      </c>
      <c r="E475" s="154">
        <f>2500*120</f>
        <v>300000</v>
      </c>
      <c r="F475" s="159"/>
      <c r="G475" s="145"/>
      <c r="H475" s="145"/>
      <c r="I475" s="145"/>
      <c r="J475" s="145"/>
      <c r="K475" s="145"/>
    </row>
    <row r="476" spans="1:89" s="20" customFormat="1" ht="17" x14ac:dyDescent="0.2">
      <c r="A476" s="165"/>
      <c r="B476" s="39"/>
      <c r="C476" s="92" t="s">
        <v>0</v>
      </c>
      <c r="D476" s="92"/>
      <c r="E476" s="63"/>
      <c r="F476" s="63">
        <f>SUM(E471:E475)</f>
        <v>1276000</v>
      </c>
      <c r="G476" s="145"/>
      <c r="H476" s="145"/>
      <c r="I476" s="145"/>
      <c r="J476" s="145"/>
      <c r="K476" s="14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row>
    <row r="477" spans="1:89" s="20" customFormat="1" x14ac:dyDescent="0.2">
      <c r="A477" s="165"/>
      <c r="B477" s="39"/>
      <c r="C477" s="92"/>
      <c r="D477" s="92"/>
      <c r="E477" s="63"/>
      <c r="F477" s="63"/>
      <c r="G477" s="145"/>
      <c r="H477" s="145"/>
      <c r="I477" s="145"/>
      <c r="J477" s="145"/>
      <c r="K477" s="14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row>
    <row r="478" spans="1:89" s="20" customFormat="1" x14ac:dyDescent="0.2">
      <c r="A478" s="165"/>
      <c r="B478" s="39" t="s">
        <v>480</v>
      </c>
      <c r="C478" s="98" t="s">
        <v>417</v>
      </c>
      <c r="D478" s="41"/>
      <c r="E478" s="42"/>
      <c r="F478" s="43"/>
      <c r="G478" s="145"/>
      <c r="H478" s="145"/>
      <c r="I478" s="145"/>
      <c r="J478" s="145"/>
      <c r="K478" s="14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row>
    <row r="479" spans="1:89" s="20" customFormat="1" x14ac:dyDescent="0.2">
      <c r="A479" s="165"/>
      <c r="B479" s="39"/>
      <c r="C479" s="47" t="s">
        <v>406</v>
      </c>
      <c r="D479" s="41"/>
      <c r="E479" s="42"/>
      <c r="F479" s="43"/>
      <c r="G479" s="145"/>
      <c r="H479" s="145"/>
      <c r="I479" s="145"/>
      <c r="J479" s="145"/>
      <c r="K479" s="14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row>
    <row r="480" spans="1:89" s="20" customFormat="1" ht="17" x14ac:dyDescent="0.2">
      <c r="A480" s="166"/>
      <c r="B480" s="100"/>
      <c r="C480" s="90" t="s">
        <v>157</v>
      </c>
      <c r="D480" s="156" t="s">
        <v>538</v>
      </c>
      <c r="E480" s="154">
        <v>300000</v>
      </c>
      <c r="F480" s="159"/>
      <c r="G480" s="145"/>
      <c r="H480" s="145"/>
      <c r="I480" s="145"/>
      <c r="J480" s="145"/>
      <c r="K480" s="14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row>
    <row r="481" spans="1:89" s="20" customFormat="1" ht="17" x14ac:dyDescent="0.2">
      <c r="A481" s="166"/>
      <c r="B481" s="100"/>
      <c r="C481" s="90" t="s">
        <v>31</v>
      </c>
      <c r="D481" s="156" t="s">
        <v>533</v>
      </c>
      <c r="E481" s="154">
        <v>529000</v>
      </c>
      <c r="F481" s="159"/>
      <c r="G481" s="145"/>
      <c r="H481" s="145"/>
      <c r="I481" s="145"/>
      <c r="J481" s="145"/>
      <c r="K481" s="14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row>
    <row r="482" spans="1:89" s="20" customFormat="1" ht="17" x14ac:dyDescent="0.2">
      <c r="A482" s="166"/>
      <c r="B482" s="100"/>
      <c r="C482" s="90" t="s">
        <v>418</v>
      </c>
      <c r="D482" s="156" t="s">
        <v>552</v>
      </c>
      <c r="E482" s="154">
        <f>800*120</f>
        <v>96000</v>
      </c>
      <c r="F482" s="159"/>
      <c r="G482" s="145"/>
      <c r="H482" s="145"/>
      <c r="I482" s="145"/>
      <c r="J482" s="145"/>
      <c r="K482" s="14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row>
    <row r="483" spans="1:89" s="20" customFormat="1" ht="17" x14ac:dyDescent="0.2">
      <c r="A483" s="166"/>
      <c r="B483" s="100"/>
      <c r="C483" s="90" t="s">
        <v>199</v>
      </c>
      <c r="D483" s="156" t="s">
        <v>574</v>
      </c>
      <c r="E483" s="154">
        <v>148000</v>
      </c>
      <c r="F483" s="159"/>
      <c r="G483" s="145"/>
      <c r="H483" s="145"/>
      <c r="I483" s="145"/>
      <c r="J483" s="145"/>
      <c r="K483" s="14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row>
    <row r="484" spans="1:89" s="20" customFormat="1" ht="17" x14ac:dyDescent="0.2">
      <c r="A484" s="166"/>
      <c r="B484" s="100"/>
      <c r="C484" s="90" t="s">
        <v>92</v>
      </c>
      <c r="D484" s="156" t="s">
        <v>536</v>
      </c>
      <c r="E484" s="154">
        <v>65000</v>
      </c>
      <c r="F484" s="159"/>
      <c r="G484" s="145"/>
      <c r="H484" s="145"/>
      <c r="I484" s="145"/>
      <c r="J484" s="145"/>
      <c r="K484" s="14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row>
    <row r="485" spans="1:89" s="11" customFormat="1" ht="17" x14ac:dyDescent="0.2">
      <c r="A485" s="166"/>
      <c r="B485" s="100"/>
      <c r="C485" s="90" t="s">
        <v>32</v>
      </c>
      <c r="D485" s="156" t="s">
        <v>535</v>
      </c>
      <c r="E485" s="154">
        <v>396000</v>
      </c>
      <c r="F485" s="159"/>
      <c r="G485" s="145"/>
      <c r="H485" s="145"/>
      <c r="I485" s="145"/>
      <c r="J485" s="145"/>
      <c r="K485" s="145"/>
    </row>
    <row r="486" spans="1:89" s="20" customFormat="1" ht="17" x14ac:dyDescent="0.2">
      <c r="A486" s="166"/>
      <c r="B486" s="100"/>
      <c r="C486" s="90" t="s">
        <v>419</v>
      </c>
      <c r="D486" s="156" t="s">
        <v>568</v>
      </c>
      <c r="E486" s="154">
        <f>350*120</f>
        <v>42000</v>
      </c>
      <c r="F486" s="159"/>
      <c r="G486" s="145"/>
      <c r="H486" s="145"/>
      <c r="I486" s="145"/>
      <c r="J486" s="145"/>
      <c r="K486" s="14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row>
    <row r="487" spans="1:89" s="20" customFormat="1" ht="17" x14ac:dyDescent="0.2">
      <c r="A487" s="165"/>
      <c r="B487" s="39"/>
      <c r="C487" s="92" t="s">
        <v>0</v>
      </c>
      <c r="D487" s="92"/>
      <c r="E487" s="63"/>
      <c r="F487" s="63">
        <f>SUM(E480:E486)</f>
        <v>1576000</v>
      </c>
      <c r="G487" s="145"/>
      <c r="H487" s="145"/>
      <c r="I487" s="145"/>
      <c r="J487" s="145"/>
      <c r="K487" s="14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row>
    <row r="488" spans="1:89" s="20" customFormat="1" x14ac:dyDescent="0.2">
      <c r="A488" s="165"/>
      <c r="B488" s="39"/>
      <c r="C488" s="92"/>
      <c r="D488" s="92"/>
      <c r="E488" s="63"/>
      <c r="F488" s="63"/>
      <c r="G488" s="145"/>
      <c r="H488" s="145"/>
      <c r="I488" s="145"/>
      <c r="J488" s="145"/>
      <c r="K488" s="14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c r="BP488" s="5"/>
      <c r="BQ488" s="5"/>
      <c r="BR488" s="5"/>
      <c r="BS488" s="5"/>
      <c r="BT488" s="5"/>
      <c r="BU488" s="5"/>
      <c r="BV488" s="5"/>
      <c r="BW488" s="5"/>
      <c r="BX488" s="5"/>
      <c r="BY488" s="5"/>
      <c r="BZ488" s="5"/>
      <c r="CA488" s="5"/>
      <c r="CB488" s="5"/>
      <c r="CC488" s="5"/>
      <c r="CD488" s="5"/>
      <c r="CE488" s="5"/>
      <c r="CF488" s="5"/>
      <c r="CG488" s="5"/>
      <c r="CH488" s="5"/>
      <c r="CI488" s="5"/>
      <c r="CJ488" s="5"/>
      <c r="CK488" s="5"/>
    </row>
    <row r="489" spans="1:89" s="20" customFormat="1" x14ac:dyDescent="0.2">
      <c r="A489" s="165"/>
      <c r="B489" s="39" t="s">
        <v>481</v>
      </c>
      <c r="C489" s="98" t="s">
        <v>421</v>
      </c>
      <c r="D489" s="41"/>
      <c r="E489" s="42"/>
      <c r="F489" s="43"/>
      <c r="G489" s="145"/>
      <c r="H489" s="145"/>
      <c r="I489" s="145"/>
      <c r="J489" s="145"/>
      <c r="K489" s="14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c r="BS489" s="5"/>
      <c r="BT489" s="5"/>
      <c r="BU489" s="5"/>
      <c r="BV489" s="5"/>
      <c r="BW489" s="5"/>
      <c r="BX489" s="5"/>
      <c r="BY489" s="5"/>
      <c r="BZ489" s="5"/>
      <c r="CA489" s="5"/>
      <c r="CB489" s="5"/>
      <c r="CC489" s="5"/>
      <c r="CD489" s="5"/>
      <c r="CE489" s="5"/>
      <c r="CF489" s="5"/>
      <c r="CG489" s="5"/>
      <c r="CH489" s="5"/>
      <c r="CI489" s="5"/>
      <c r="CJ489" s="5"/>
      <c r="CK489" s="5"/>
    </row>
    <row r="490" spans="1:89" s="20" customFormat="1" ht="17" x14ac:dyDescent="0.2">
      <c r="A490" s="165"/>
      <c r="B490" s="39"/>
      <c r="C490" s="41" t="s">
        <v>422</v>
      </c>
      <c r="D490" s="41"/>
      <c r="E490" s="42"/>
      <c r="F490" s="43"/>
      <c r="G490" s="145"/>
      <c r="H490" s="145"/>
      <c r="I490" s="145"/>
      <c r="J490" s="145"/>
      <c r="K490" s="14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c r="BF490" s="5"/>
      <c r="BG490" s="5"/>
      <c r="BH490" s="5"/>
      <c r="BI490" s="5"/>
      <c r="BJ490" s="5"/>
      <c r="BK490" s="5"/>
      <c r="BL490" s="5"/>
      <c r="BM490" s="5"/>
      <c r="BN490" s="5"/>
      <c r="BO490" s="5"/>
      <c r="BP490" s="5"/>
      <c r="BQ490" s="5"/>
      <c r="BR490" s="5"/>
      <c r="BS490" s="5"/>
      <c r="BT490" s="5"/>
      <c r="BU490" s="5"/>
      <c r="BV490" s="5"/>
      <c r="BW490" s="5"/>
      <c r="BX490" s="5"/>
      <c r="BY490" s="5"/>
      <c r="BZ490" s="5"/>
      <c r="CA490" s="5"/>
      <c r="CB490" s="5"/>
      <c r="CC490" s="5"/>
      <c r="CD490" s="5"/>
      <c r="CE490" s="5"/>
      <c r="CF490" s="5"/>
      <c r="CG490" s="5"/>
      <c r="CH490" s="5"/>
      <c r="CI490" s="5"/>
      <c r="CJ490" s="5"/>
      <c r="CK490" s="5"/>
    </row>
    <row r="491" spans="1:89" s="20" customFormat="1" ht="17" x14ac:dyDescent="0.2">
      <c r="A491" s="166"/>
      <c r="B491" s="100"/>
      <c r="C491" s="90" t="s">
        <v>420</v>
      </c>
      <c r="D491" s="156" t="s">
        <v>539</v>
      </c>
      <c r="E491" s="154">
        <v>600000</v>
      </c>
      <c r="F491" s="159"/>
      <c r="G491" s="145"/>
      <c r="H491" s="145"/>
      <c r="I491" s="145"/>
      <c r="J491" s="145"/>
      <c r="K491" s="14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c r="BP491" s="5"/>
      <c r="BQ491" s="5"/>
      <c r="BR491" s="5"/>
      <c r="BS491" s="5"/>
      <c r="BT491" s="5"/>
      <c r="BU491" s="5"/>
      <c r="BV491" s="5"/>
      <c r="BW491" s="5"/>
      <c r="BX491" s="5"/>
      <c r="BY491" s="5"/>
      <c r="BZ491" s="5"/>
      <c r="CA491" s="5"/>
      <c r="CB491" s="5"/>
      <c r="CC491" s="5"/>
      <c r="CD491" s="5"/>
      <c r="CE491" s="5"/>
      <c r="CF491" s="5"/>
      <c r="CG491" s="5"/>
      <c r="CH491" s="5"/>
      <c r="CI491" s="5"/>
      <c r="CJ491" s="5"/>
      <c r="CK491" s="5"/>
    </row>
    <row r="492" spans="1:89" s="20" customFormat="1" ht="17" x14ac:dyDescent="0.2">
      <c r="A492" s="165"/>
      <c r="B492" s="39"/>
      <c r="C492" s="92" t="s">
        <v>0</v>
      </c>
      <c r="D492" s="92"/>
      <c r="E492" s="63"/>
      <c r="F492" s="63">
        <f>SUM(E491:E491)</f>
        <v>600000</v>
      </c>
      <c r="G492" s="145"/>
      <c r="H492" s="145"/>
      <c r="I492" s="145"/>
      <c r="J492" s="145"/>
      <c r="K492" s="14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c r="BF492" s="5"/>
      <c r="BG492" s="5"/>
      <c r="BH492" s="5"/>
      <c r="BI492" s="5"/>
      <c r="BJ492" s="5"/>
      <c r="BK492" s="5"/>
      <c r="BL492" s="5"/>
      <c r="BM492" s="5"/>
      <c r="BN492" s="5"/>
      <c r="BO492" s="5"/>
      <c r="BP492" s="5"/>
      <c r="BQ492" s="5"/>
      <c r="BR492" s="5"/>
      <c r="BS492" s="5"/>
      <c r="BT492" s="5"/>
      <c r="BU492" s="5"/>
      <c r="BV492" s="5"/>
      <c r="BW492" s="5"/>
      <c r="BX492" s="5"/>
      <c r="BY492" s="5"/>
      <c r="BZ492" s="5"/>
      <c r="CA492" s="5"/>
      <c r="CB492" s="5"/>
      <c r="CC492" s="5"/>
      <c r="CD492" s="5"/>
      <c r="CE492" s="5"/>
      <c r="CF492" s="5"/>
      <c r="CG492" s="5"/>
      <c r="CH492" s="5"/>
      <c r="CI492" s="5"/>
      <c r="CJ492" s="5"/>
      <c r="CK492" s="5"/>
    </row>
    <row r="493" spans="1:89" x14ac:dyDescent="0.2">
      <c r="B493" s="39"/>
      <c r="C493" s="92"/>
      <c r="D493" s="92"/>
      <c r="E493" s="63"/>
      <c r="F493" s="63"/>
      <c r="G493" s="145"/>
      <c r="H493" s="145"/>
      <c r="I493" s="145"/>
      <c r="J493" s="145"/>
      <c r="K493" s="145"/>
    </row>
    <row r="494" spans="1:89" x14ac:dyDescent="0.2">
      <c r="B494" s="39"/>
      <c r="C494" s="98" t="s">
        <v>423</v>
      </c>
      <c r="D494" s="41"/>
      <c r="E494" s="42"/>
      <c r="F494" s="43"/>
      <c r="G494" s="145"/>
      <c r="H494" s="145"/>
      <c r="I494" s="145"/>
      <c r="J494" s="145"/>
      <c r="K494" s="145"/>
    </row>
    <row r="495" spans="1:89" ht="17" x14ac:dyDescent="0.2">
      <c r="B495" s="39"/>
      <c r="C495" s="47" t="s">
        <v>94</v>
      </c>
      <c r="D495" s="41" t="s">
        <v>540</v>
      </c>
      <c r="E495" s="42">
        <v>44000</v>
      </c>
      <c r="F495" s="43"/>
      <c r="G495" s="145"/>
      <c r="H495" s="145"/>
      <c r="I495" s="145"/>
      <c r="J495" s="145"/>
      <c r="K495" s="145"/>
    </row>
    <row r="496" spans="1:89" ht="17" x14ac:dyDescent="0.2">
      <c r="A496" s="166"/>
      <c r="B496" s="100"/>
      <c r="C496" s="90" t="s">
        <v>95</v>
      </c>
      <c r="D496" s="66" t="s">
        <v>541</v>
      </c>
      <c r="E496" s="154">
        <v>220000</v>
      </c>
      <c r="F496" s="159"/>
      <c r="G496" s="145"/>
      <c r="H496" s="145"/>
      <c r="I496" s="145"/>
      <c r="J496" s="145"/>
      <c r="K496" s="145"/>
    </row>
    <row r="497" spans="1:89" ht="17" x14ac:dyDescent="0.2">
      <c r="A497" s="166"/>
      <c r="B497" s="100"/>
      <c r="C497" s="90" t="s">
        <v>201</v>
      </c>
      <c r="D497" s="66" t="s">
        <v>559</v>
      </c>
      <c r="E497" s="154">
        <v>100000</v>
      </c>
      <c r="F497" s="159"/>
      <c r="G497" s="145"/>
      <c r="H497" s="145"/>
      <c r="I497" s="145"/>
      <c r="J497" s="145"/>
      <c r="K497" s="145"/>
    </row>
    <row r="498" spans="1:89" s="11" customFormat="1" ht="17" x14ac:dyDescent="0.2">
      <c r="A498" s="166"/>
      <c r="B498" s="100"/>
      <c r="C498" s="90" t="s">
        <v>202</v>
      </c>
      <c r="D498" s="66" t="s">
        <v>542</v>
      </c>
      <c r="E498" s="154">
        <v>58000</v>
      </c>
      <c r="F498" s="159"/>
      <c r="G498" s="145"/>
      <c r="H498" s="145"/>
      <c r="I498" s="145"/>
      <c r="J498" s="145"/>
      <c r="K498" s="145"/>
    </row>
    <row r="499" spans="1:89" s="6" customFormat="1" ht="17" x14ac:dyDescent="0.2">
      <c r="A499" s="165"/>
      <c r="B499" s="39"/>
      <c r="C499" s="92" t="s">
        <v>0</v>
      </c>
      <c r="D499" s="92"/>
      <c r="E499" s="42"/>
      <c r="F499" s="63">
        <f>SUM(E495:E498)</f>
        <v>422000</v>
      </c>
      <c r="G499" s="145"/>
      <c r="H499" s="145"/>
      <c r="I499" s="145"/>
      <c r="J499" s="145"/>
      <c r="K499" s="14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c r="BP499" s="5"/>
      <c r="BQ499" s="5"/>
      <c r="BR499" s="5"/>
      <c r="BS499" s="5"/>
      <c r="BT499" s="5"/>
      <c r="BU499" s="5"/>
      <c r="BV499" s="5"/>
      <c r="BW499" s="5"/>
      <c r="BX499" s="5"/>
      <c r="BY499" s="5"/>
      <c r="BZ499" s="5"/>
      <c r="CA499" s="5"/>
      <c r="CB499" s="5"/>
      <c r="CC499" s="5"/>
      <c r="CD499" s="5"/>
      <c r="CE499" s="5"/>
      <c r="CF499" s="5"/>
      <c r="CG499" s="5"/>
      <c r="CH499" s="5"/>
      <c r="CI499" s="5"/>
      <c r="CJ499" s="5"/>
      <c r="CK499" s="5"/>
    </row>
    <row r="500" spans="1:89" x14ac:dyDescent="0.2">
      <c r="B500" s="130"/>
      <c r="C500" s="218"/>
      <c r="D500" s="218"/>
      <c r="E500" s="218"/>
      <c r="F500" s="218"/>
      <c r="G500" s="56" t="e">
        <f>+G408+G415+G422+G430+G439+G448+G456+G465+#REF!+G475+G486+#REF!+G491+G498</f>
        <v>#REF!</v>
      </c>
      <c r="H500" s="56" t="e">
        <f>+H408+H415+H422+H430+H439+H448+H456+H465+#REF!+H475+H486+#REF!+H491+H498</f>
        <v>#REF!</v>
      </c>
      <c r="I500" s="56" t="e">
        <f>+I408+I415+I422+I430+I439+I448+I456+I465+#REF!+I475+I486+#REF!+I491+I498</f>
        <v>#REF!</v>
      </c>
      <c r="J500" s="56" t="e">
        <f>+J408+J415+J422+J430+J439+J448+J456+J465+#REF!+J475+J486+#REF!+J491+J498</f>
        <v>#REF!</v>
      </c>
      <c r="K500" s="56" t="e">
        <f>+K408+K415+K422+K430+K439+K448+K456+K465+#REF!+K475+K486+#REF!+K491+K498</f>
        <v>#REF!</v>
      </c>
    </row>
    <row r="501" spans="1:89" ht="17" x14ac:dyDescent="0.2">
      <c r="B501" s="39"/>
      <c r="C501" s="47"/>
      <c r="D501" s="54" t="s">
        <v>96</v>
      </c>
      <c r="E501" s="55"/>
      <c r="F501" s="56">
        <f>+F409+F416+F423+F431+F440+F449+F457+F466+F476+F487+F492+F499</f>
        <v>9411000</v>
      </c>
      <c r="G501" s="145"/>
      <c r="H501" s="145"/>
      <c r="I501" s="145"/>
      <c r="J501" s="145"/>
      <c r="K501" s="145"/>
    </row>
    <row r="502" spans="1:89" s="6" customFormat="1" ht="18" customHeight="1" x14ac:dyDescent="0.2">
      <c r="A502" s="165"/>
      <c r="B502" s="39"/>
      <c r="C502" s="47"/>
      <c r="D502" s="101" t="s">
        <v>153</v>
      </c>
      <c r="E502" s="36"/>
      <c r="F502" s="36">
        <f>F42+F215+F331+F399+F501</f>
        <v>1048959000</v>
      </c>
      <c r="G502" s="145"/>
      <c r="H502" s="145"/>
      <c r="I502" s="145"/>
      <c r="J502" s="145"/>
      <c r="K502" s="14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c r="BP502" s="5"/>
      <c r="BQ502" s="5"/>
      <c r="BR502" s="5"/>
      <c r="BS502" s="5"/>
      <c r="BT502" s="5"/>
      <c r="BU502" s="5"/>
      <c r="BV502" s="5"/>
      <c r="BW502" s="5"/>
      <c r="BX502" s="5"/>
      <c r="BY502" s="5"/>
      <c r="BZ502" s="5"/>
      <c r="CA502" s="5"/>
      <c r="CB502" s="5"/>
      <c r="CC502" s="5"/>
      <c r="CD502" s="5"/>
      <c r="CE502" s="5"/>
      <c r="CF502" s="5"/>
      <c r="CG502" s="5"/>
      <c r="CH502" s="5"/>
      <c r="CI502" s="5"/>
      <c r="CJ502" s="5"/>
      <c r="CK502" s="5"/>
    </row>
    <row r="503" spans="1:89" ht="21" customHeight="1" x14ac:dyDescent="0.2">
      <c r="B503" s="130"/>
      <c r="C503" s="217"/>
      <c r="D503" s="217"/>
      <c r="E503" s="217"/>
      <c r="F503" s="217"/>
      <c r="G503" s="97"/>
      <c r="H503" s="97"/>
      <c r="I503" s="97"/>
      <c r="J503" s="97"/>
      <c r="K503" s="97"/>
    </row>
    <row r="504" spans="1:89" x14ac:dyDescent="0.2">
      <c r="B504" s="39"/>
      <c r="C504" s="102" t="s">
        <v>97</v>
      </c>
      <c r="D504" s="103"/>
      <c r="E504" s="104"/>
      <c r="F504" s="104"/>
      <c r="G504" s="97"/>
      <c r="H504" s="97"/>
      <c r="I504" s="97"/>
      <c r="J504" s="97"/>
      <c r="K504" s="97"/>
    </row>
    <row r="505" spans="1:89" ht="34" x14ac:dyDescent="0.2">
      <c r="B505" s="130"/>
      <c r="C505" s="132" t="s">
        <v>98</v>
      </c>
      <c r="D505" s="133" t="s">
        <v>99</v>
      </c>
      <c r="E505" s="134"/>
      <c r="F505" s="133" t="s">
        <v>100</v>
      </c>
      <c r="G505" s="97"/>
      <c r="H505" s="97"/>
      <c r="I505" s="97"/>
      <c r="J505" s="97"/>
      <c r="K505" s="97"/>
    </row>
    <row r="506" spans="1:89" x14ac:dyDescent="0.2">
      <c r="B506" s="39"/>
      <c r="C506" s="105"/>
      <c r="D506" s="105"/>
      <c r="E506" s="106"/>
      <c r="F506" s="104"/>
      <c r="G506" s="97"/>
      <c r="H506" s="97"/>
      <c r="I506" s="97"/>
      <c r="J506" s="97"/>
      <c r="K506" s="97"/>
    </row>
    <row r="507" spans="1:89" ht="17" x14ac:dyDescent="0.2">
      <c r="B507" s="39"/>
      <c r="C507" s="107" t="s">
        <v>101</v>
      </c>
      <c r="D507" s="108"/>
      <c r="E507" s="108"/>
      <c r="F507" s="104"/>
      <c r="G507" s="97"/>
      <c r="H507" s="97"/>
      <c r="I507" s="97"/>
      <c r="J507" s="97"/>
      <c r="K507" s="97"/>
    </row>
    <row r="508" spans="1:89" ht="17" x14ac:dyDescent="0.2">
      <c r="B508" s="141">
        <v>4111</v>
      </c>
      <c r="C508" s="109" t="s">
        <v>102</v>
      </c>
      <c r="D508" s="110">
        <v>11200000</v>
      </c>
      <c r="E508" s="110"/>
      <c r="F508" s="111"/>
      <c r="G508" s="97"/>
      <c r="H508" s="97"/>
      <c r="I508" s="97"/>
      <c r="J508" s="97"/>
      <c r="K508" s="97"/>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row>
    <row r="509" spans="1:89" ht="17" x14ac:dyDescent="0.2">
      <c r="B509" s="141"/>
      <c r="C509" s="107" t="s">
        <v>103</v>
      </c>
      <c r="D509" s="112"/>
      <c r="E509" s="112"/>
      <c r="F509" s="111"/>
      <c r="G509" s="97"/>
      <c r="H509" s="97"/>
      <c r="I509" s="97"/>
      <c r="J509" s="97"/>
      <c r="K509" s="97"/>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row>
    <row r="510" spans="1:89" ht="17" x14ac:dyDescent="0.2">
      <c r="B510" s="141">
        <v>4121</v>
      </c>
      <c r="C510" s="113" t="s">
        <v>104</v>
      </c>
      <c r="D510" s="110">
        <v>1344000</v>
      </c>
      <c r="E510" s="110"/>
      <c r="F510" s="111"/>
      <c r="G510" s="97"/>
      <c r="H510" s="97"/>
      <c r="I510" s="97"/>
      <c r="J510" s="97"/>
      <c r="K510" s="97"/>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row>
    <row r="511" spans="1:89" ht="17" x14ac:dyDescent="0.2">
      <c r="B511" s="141">
        <v>4122</v>
      </c>
      <c r="C511" s="113" t="s">
        <v>105</v>
      </c>
      <c r="D511" s="110">
        <v>656000</v>
      </c>
      <c r="E511" s="110"/>
      <c r="F511" s="111"/>
      <c r="G511" s="97"/>
      <c r="H511" s="97"/>
      <c r="I511" s="97"/>
      <c r="J511" s="97"/>
      <c r="K511" s="97"/>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row>
    <row r="512" spans="1:89" x14ac:dyDescent="0.2">
      <c r="B512" s="141"/>
      <c r="C512" s="114" t="s">
        <v>106</v>
      </c>
      <c r="D512" s="110"/>
      <c r="E512" s="110"/>
      <c r="F512" s="111"/>
      <c r="G512" s="97"/>
      <c r="H512" s="97"/>
      <c r="I512" s="97"/>
      <c r="J512" s="97"/>
      <c r="K512" s="97"/>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row>
    <row r="513" spans="1:89" x14ac:dyDescent="0.2">
      <c r="B513" s="141">
        <v>4141</v>
      </c>
      <c r="C513" s="115" t="s">
        <v>166</v>
      </c>
      <c r="D513" s="110">
        <v>300000</v>
      </c>
      <c r="E513" s="110"/>
      <c r="F513" s="111"/>
      <c r="G513" s="97"/>
      <c r="H513" s="97"/>
      <c r="I513" s="97"/>
      <c r="J513" s="97"/>
      <c r="K513" s="97"/>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row>
    <row r="514" spans="1:89" s="20" customFormat="1" x14ac:dyDescent="0.2">
      <c r="A514" s="165"/>
      <c r="B514" s="141"/>
      <c r="C514" s="115" t="s">
        <v>208</v>
      </c>
      <c r="D514" s="110"/>
      <c r="E514" s="110"/>
      <c r="F514" s="111"/>
      <c r="G514" s="138"/>
      <c r="H514" s="138"/>
      <c r="I514" s="138"/>
      <c r="J514" s="138"/>
      <c r="K514" s="138"/>
    </row>
    <row r="515" spans="1:89" ht="17" x14ac:dyDescent="0.2">
      <c r="A515" s="167"/>
      <c r="B515" s="141">
        <v>4144</v>
      </c>
      <c r="C515" s="189" t="s">
        <v>492</v>
      </c>
      <c r="D515" s="172">
        <v>200000</v>
      </c>
      <c r="E515" s="110"/>
      <c r="F515" s="111"/>
      <c r="G515" s="97"/>
      <c r="H515" s="97"/>
      <c r="I515" s="97"/>
      <c r="J515" s="97"/>
      <c r="K515" s="97"/>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row>
    <row r="516" spans="1:89" ht="17" x14ac:dyDescent="0.2">
      <c r="B516" s="141"/>
      <c r="C516" s="107" t="s">
        <v>107</v>
      </c>
      <c r="D516" s="116"/>
      <c r="E516" s="116"/>
      <c r="F516" s="111"/>
      <c r="G516" s="97"/>
      <c r="H516" s="97"/>
      <c r="I516" s="97"/>
      <c r="J516" s="97"/>
      <c r="K516" s="97"/>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row>
    <row r="517" spans="1:89" ht="17" x14ac:dyDescent="0.2">
      <c r="B517" s="141">
        <v>4151</v>
      </c>
      <c r="C517" s="113" t="s">
        <v>107</v>
      </c>
      <c r="D517" s="110">
        <v>500000</v>
      </c>
      <c r="E517" s="110"/>
      <c r="F517" s="111"/>
      <c r="G517" s="97"/>
      <c r="H517" s="97"/>
      <c r="I517" s="97"/>
      <c r="J517" s="97"/>
      <c r="K517" s="97"/>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row>
    <row r="518" spans="1:89" ht="17" x14ac:dyDescent="0.2">
      <c r="B518" s="141"/>
      <c r="C518" s="107" t="s">
        <v>108</v>
      </c>
      <c r="D518" s="116"/>
      <c r="E518" s="117"/>
      <c r="F518" s="118"/>
      <c r="G518" s="97"/>
      <c r="H518" s="97"/>
      <c r="I518" s="97"/>
      <c r="J518" s="97"/>
      <c r="K518" s="97"/>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row>
    <row r="519" spans="1:89" ht="17" x14ac:dyDescent="0.2">
      <c r="B519" s="141">
        <v>4161</v>
      </c>
      <c r="C519" s="113" t="s">
        <v>109</v>
      </c>
      <c r="D519" s="110">
        <v>500000</v>
      </c>
      <c r="E519" s="119"/>
      <c r="F519" s="118"/>
      <c r="G519" s="97"/>
      <c r="H519" s="97"/>
      <c r="I519" s="97"/>
      <c r="J519" s="97"/>
      <c r="K519" s="97"/>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row>
    <row r="520" spans="1:89" ht="17" x14ac:dyDescent="0.2">
      <c r="B520" s="141"/>
      <c r="C520" s="107" t="s">
        <v>110</v>
      </c>
      <c r="D520" s="116"/>
      <c r="E520" s="117"/>
      <c r="F520" s="118"/>
      <c r="G520" s="97"/>
      <c r="H520" s="97"/>
      <c r="I520" s="97"/>
      <c r="J520" s="97"/>
      <c r="K520" s="97"/>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row>
    <row r="521" spans="1:89" ht="17" x14ac:dyDescent="0.2">
      <c r="B521" s="141">
        <v>4211</v>
      </c>
      <c r="C521" s="113" t="s">
        <v>111</v>
      </c>
      <c r="D521" s="110">
        <v>400000</v>
      </c>
      <c r="E521" s="119"/>
      <c r="F521" s="118"/>
      <c r="G521" s="97"/>
      <c r="H521" s="97"/>
      <c r="I521" s="97"/>
      <c r="J521" s="97"/>
      <c r="K521" s="97"/>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row>
    <row r="522" spans="1:89" x14ac:dyDescent="0.2">
      <c r="B522" s="141">
        <v>4212</v>
      </c>
      <c r="C522" s="115" t="s">
        <v>112</v>
      </c>
      <c r="D522" s="110">
        <v>1000000</v>
      </c>
      <c r="E522" s="119"/>
      <c r="F522" s="118"/>
      <c r="G522" s="97"/>
      <c r="H522" s="97"/>
      <c r="I522" s="97"/>
      <c r="J522" s="97"/>
      <c r="K522" s="97"/>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row>
    <row r="523" spans="1:89" x14ac:dyDescent="0.2">
      <c r="B523" s="141">
        <v>4213</v>
      </c>
      <c r="C523" s="115" t="s">
        <v>113</v>
      </c>
      <c r="D523" s="110">
        <v>500000</v>
      </c>
      <c r="E523" s="119"/>
      <c r="F523" s="118"/>
      <c r="G523" s="97"/>
      <c r="H523" s="97"/>
      <c r="I523" s="97"/>
      <c r="J523" s="97"/>
      <c r="K523" s="97"/>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row>
    <row r="524" spans="1:89" x14ac:dyDescent="0.2">
      <c r="B524" s="141">
        <v>4214</v>
      </c>
      <c r="C524" s="115" t="s">
        <v>114</v>
      </c>
      <c r="D524" s="110">
        <v>1000000</v>
      </c>
      <c r="E524" s="119"/>
      <c r="F524" s="118"/>
      <c r="G524" s="97"/>
      <c r="H524" s="97"/>
      <c r="I524" s="97"/>
      <c r="J524" s="97"/>
      <c r="K524" s="97"/>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row>
    <row r="525" spans="1:89" x14ac:dyDescent="0.2">
      <c r="B525" s="141">
        <v>4215</v>
      </c>
      <c r="C525" s="115" t="s">
        <v>115</v>
      </c>
      <c r="D525" s="110">
        <v>250000</v>
      </c>
      <c r="E525" s="119"/>
      <c r="F525" s="118"/>
      <c r="G525" s="97"/>
      <c r="H525" s="97"/>
      <c r="I525" s="97"/>
      <c r="J525" s="97"/>
      <c r="K525" s="97"/>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row>
    <row r="526" spans="1:89" x14ac:dyDescent="0.2">
      <c r="B526" s="141">
        <v>4216</v>
      </c>
      <c r="C526" s="115" t="s">
        <v>116</v>
      </c>
      <c r="D526" s="110">
        <v>3223000</v>
      </c>
      <c r="E526" s="119"/>
      <c r="F526" s="118"/>
      <c r="G526" s="97"/>
      <c r="H526" s="97"/>
      <c r="I526" s="97"/>
      <c r="J526" s="97"/>
      <c r="K526" s="97"/>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row>
    <row r="527" spans="1:89" x14ac:dyDescent="0.2">
      <c r="B527" s="141">
        <v>4219</v>
      </c>
      <c r="C527" s="115" t="s">
        <v>117</v>
      </c>
      <c r="D527" s="110">
        <v>300000</v>
      </c>
      <c r="E527" s="119"/>
      <c r="F527" s="118"/>
      <c r="G527" s="97"/>
      <c r="H527" s="97"/>
      <c r="I527" s="97"/>
      <c r="J527" s="97"/>
      <c r="K527" s="97"/>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row>
    <row r="528" spans="1:89" ht="17" x14ac:dyDescent="0.2">
      <c r="B528" s="141"/>
      <c r="C528" s="107" t="s">
        <v>118</v>
      </c>
      <c r="D528" s="116"/>
      <c r="E528" s="117"/>
      <c r="F528" s="118"/>
      <c r="G528" s="97"/>
      <c r="H528" s="97"/>
      <c r="I528" s="97"/>
      <c r="J528" s="97"/>
      <c r="K528" s="97"/>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row>
    <row r="529" spans="2:89" ht="17" x14ac:dyDescent="0.2">
      <c r="B529" s="141">
        <v>4221</v>
      </c>
      <c r="C529" s="113" t="s">
        <v>119</v>
      </c>
      <c r="D529" s="110">
        <v>1000000</v>
      </c>
      <c r="E529" s="119"/>
      <c r="F529" s="118"/>
      <c r="G529" s="97"/>
      <c r="H529" s="97"/>
      <c r="I529" s="97"/>
      <c r="J529" s="97"/>
      <c r="K529" s="97"/>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row>
    <row r="530" spans="2:89" ht="17" x14ac:dyDescent="0.2">
      <c r="B530" s="141">
        <v>4222</v>
      </c>
      <c r="C530" s="113" t="s">
        <v>120</v>
      </c>
      <c r="D530" s="110">
        <v>1000000</v>
      </c>
      <c r="E530" s="119"/>
      <c r="F530" s="118"/>
      <c r="G530" s="97"/>
      <c r="H530" s="97"/>
      <c r="I530" s="97"/>
      <c r="J530" s="97"/>
      <c r="K530" s="97"/>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row>
    <row r="531" spans="2:89" ht="17" x14ac:dyDescent="0.2">
      <c r="B531" s="141">
        <v>4223</v>
      </c>
      <c r="C531" s="113" t="s">
        <v>121</v>
      </c>
      <c r="D531" s="110">
        <v>300000</v>
      </c>
      <c r="E531" s="119"/>
      <c r="F531" s="118"/>
      <c r="G531" s="97"/>
      <c r="H531" s="97"/>
      <c r="I531" s="97"/>
      <c r="J531" s="97"/>
      <c r="K531" s="97"/>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row>
    <row r="532" spans="2:89" ht="17" x14ac:dyDescent="0.2">
      <c r="B532" s="141">
        <v>4229</v>
      </c>
      <c r="C532" s="113" t="s">
        <v>122</v>
      </c>
      <c r="D532" s="110">
        <v>200000</v>
      </c>
      <c r="E532" s="119"/>
      <c r="F532" s="118"/>
      <c r="G532" s="97"/>
      <c r="H532" s="97"/>
      <c r="I532" s="97"/>
      <c r="J532" s="97"/>
      <c r="K532" s="97"/>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row>
    <row r="533" spans="2:89" ht="17" x14ac:dyDescent="0.2">
      <c r="B533" s="141"/>
      <c r="C533" s="107" t="s">
        <v>123</v>
      </c>
      <c r="D533" s="116"/>
      <c r="E533" s="117"/>
      <c r="F533" s="118"/>
      <c r="G533" s="97"/>
      <c r="H533" s="97"/>
      <c r="I533" s="97"/>
      <c r="J533" s="97"/>
      <c r="K533" s="97"/>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row>
    <row r="534" spans="2:89" x14ac:dyDescent="0.2">
      <c r="B534" s="141">
        <v>4231</v>
      </c>
      <c r="C534" s="115" t="s">
        <v>124</v>
      </c>
      <c r="D534" s="110">
        <v>1200000</v>
      </c>
      <c r="E534" s="119"/>
      <c r="F534" s="118"/>
      <c r="G534" s="97"/>
      <c r="H534" s="97"/>
      <c r="I534" s="97"/>
      <c r="J534" s="97"/>
      <c r="K534" s="97"/>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row>
    <row r="535" spans="2:89" x14ac:dyDescent="0.2">
      <c r="B535" s="141">
        <v>4232</v>
      </c>
      <c r="C535" s="115" t="s">
        <v>125</v>
      </c>
      <c r="D535" s="110">
        <v>3700000</v>
      </c>
      <c r="E535" s="119"/>
      <c r="F535" s="118"/>
      <c r="G535" s="97"/>
      <c r="H535" s="97"/>
      <c r="I535" s="97"/>
      <c r="J535" s="97"/>
      <c r="K535" s="97"/>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row>
    <row r="536" spans="2:89" ht="17" x14ac:dyDescent="0.2">
      <c r="B536" s="141">
        <v>4233</v>
      </c>
      <c r="C536" s="113" t="s">
        <v>126</v>
      </c>
      <c r="D536" s="110">
        <v>1000000</v>
      </c>
      <c r="E536" s="119"/>
      <c r="F536" s="118"/>
      <c r="G536" s="97"/>
      <c r="H536" s="97"/>
      <c r="I536" s="97"/>
      <c r="J536" s="97"/>
      <c r="K536" s="97"/>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row>
    <row r="537" spans="2:89" x14ac:dyDescent="0.2">
      <c r="B537" s="141">
        <v>4234</v>
      </c>
      <c r="C537" s="115" t="s">
        <v>127</v>
      </c>
      <c r="D537" s="110">
        <v>3100000</v>
      </c>
      <c r="E537" s="119"/>
      <c r="F537" s="118"/>
      <c r="G537" s="97"/>
      <c r="H537" s="97"/>
      <c r="I537" s="97"/>
      <c r="J537" s="97"/>
      <c r="K537" s="97"/>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row>
    <row r="538" spans="2:89" x14ac:dyDescent="0.2">
      <c r="B538" s="141">
        <v>4235</v>
      </c>
      <c r="C538" s="115" t="s">
        <v>128</v>
      </c>
      <c r="D538" s="110">
        <v>12000000</v>
      </c>
      <c r="E538" s="119"/>
      <c r="F538" s="118"/>
      <c r="G538" s="97"/>
      <c r="H538" s="97"/>
      <c r="I538" s="97"/>
      <c r="J538" s="97"/>
      <c r="K538" s="97"/>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row>
    <row r="539" spans="2:89" x14ac:dyDescent="0.2">
      <c r="B539" s="141">
        <v>4236</v>
      </c>
      <c r="C539" s="115" t="s">
        <v>129</v>
      </c>
      <c r="D539" s="110">
        <v>1200000</v>
      </c>
      <c r="E539" s="119"/>
      <c r="F539" s="118"/>
      <c r="G539" s="97"/>
      <c r="H539" s="97"/>
      <c r="I539" s="97"/>
      <c r="J539" s="97"/>
      <c r="K539" s="97"/>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row>
    <row r="540" spans="2:89" x14ac:dyDescent="0.2">
      <c r="B540" s="141">
        <v>4239</v>
      </c>
      <c r="C540" s="115" t="s">
        <v>130</v>
      </c>
      <c r="D540" s="110">
        <v>5500000</v>
      </c>
      <c r="E540" s="119"/>
      <c r="F540" s="118"/>
      <c r="G540" s="97"/>
      <c r="H540" s="97"/>
      <c r="I540" s="97"/>
      <c r="J540" s="97"/>
      <c r="K540" s="97"/>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row>
    <row r="541" spans="2:89" ht="17" x14ac:dyDescent="0.2">
      <c r="B541" s="141"/>
      <c r="C541" s="107" t="s">
        <v>131</v>
      </c>
      <c r="D541" s="116"/>
      <c r="E541" s="117"/>
      <c r="F541" s="118"/>
      <c r="G541" s="97"/>
      <c r="H541" s="97"/>
      <c r="I541" s="97"/>
      <c r="J541" s="97"/>
      <c r="K541" s="97"/>
    </row>
    <row r="542" spans="2:89" ht="17" x14ac:dyDescent="0.2">
      <c r="B542" s="141">
        <v>4242</v>
      </c>
      <c r="C542" s="113" t="s">
        <v>132</v>
      </c>
      <c r="D542" s="110"/>
      <c r="E542" s="119"/>
      <c r="F542" s="120"/>
      <c r="G542" s="97"/>
      <c r="H542" s="97"/>
      <c r="I542" s="97"/>
      <c r="J542" s="97"/>
      <c r="K542" s="97"/>
    </row>
    <row r="543" spans="2:89" ht="17" x14ac:dyDescent="0.2">
      <c r="B543" s="141"/>
      <c r="C543" s="107" t="s">
        <v>133</v>
      </c>
      <c r="D543" s="131"/>
      <c r="E543" s="117"/>
      <c r="F543" s="118"/>
      <c r="G543" s="97"/>
      <c r="H543" s="97"/>
      <c r="I543" s="97"/>
      <c r="J543" s="97"/>
      <c r="K543" s="97"/>
    </row>
    <row r="544" spans="2:89" ht="17" x14ac:dyDescent="0.2">
      <c r="B544" s="141">
        <v>4251</v>
      </c>
      <c r="C544" s="113" t="s">
        <v>134</v>
      </c>
      <c r="D544" s="110">
        <v>350000</v>
      </c>
      <c r="E544" s="119"/>
      <c r="F544" s="118"/>
      <c r="G544" s="97"/>
      <c r="H544" s="97"/>
      <c r="I544" s="97"/>
      <c r="J544" s="97"/>
      <c r="K544" s="97"/>
    </row>
    <row r="545" spans="1:89" ht="17" x14ac:dyDescent="0.2">
      <c r="B545" s="141">
        <v>4252</v>
      </c>
      <c r="C545" s="113" t="s">
        <v>135</v>
      </c>
      <c r="D545" s="110">
        <v>450000</v>
      </c>
      <c r="E545" s="119"/>
      <c r="F545" s="118"/>
      <c r="G545" s="97"/>
      <c r="H545" s="97"/>
      <c r="I545" s="97"/>
      <c r="J545" s="97"/>
      <c r="K545" s="97"/>
    </row>
    <row r="546" spans="1:89" ht="17" x14ac:dyDescent="0.2">
      <c r="B546" s="141"/>
      <c r="C546" s="107" t="s">
        <v>136</v>
      </c>
      <c r="D546" s="116"/>
      <c r="E546" s="117"/>
      <c r="F546" s="118"/>
      <c r="G546" s="97"/>
      <c r="H546" s="97"/>
      <c r="I546" s="97"/>
      <c r="J546" s="97"/>
      <c r="K546" s="97"/>
    </row>
    <row r="547" spans="1:89" x14ac:dyDescent="0.2">
      <c r="B547" s="141">
        <v>4261</v>
      </c>
      <c r="C547" s="115" t="s">
        <v>137</v>
      </c>
      <c r="D547" s="110">
        <v>600000</v>
      </c>
      <c r="E547" s="119"/>
      <c r="F547" s="118"/>
      <c r="G547" s="97"/>
      <c r="H547" s="97"/>
      <c r="I547" s="97"/>
      <c r="J547" s="97"/>
      <c r="K547" s="97"/>
    </row>
    <row r="548" spans="1:89" s="20" customFormat="1" ht="17" x14ac:dyDescent="0.2">
      <c r="A548" s="165"/>
      <c r="B548" s="141">
        <v>4262</v>
      </c>
      <c r="C548" s="113" t="s">
        <v>138</v>
      </c>
      <c r="D548" s="110">
        <v>400000</v>
      </c>
      <c r="E548" s="119"/>
      <c r="F548" s="118"/>
      <c r="G548" s="97"/>
      <c r="H548" s="97"/>
      <c r="I548" s="97"/>
      <c r="J548" s="97"/>
      <c r="K548" s="97"/>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5"/>
      <c r="CI548" s="5"/>
      <c r="CJ548" s="5"/>
      <c r="CK548" s="5"/>
    </row>
    <row r="549" spans="1:89" ht="17" x14ac:dyDescent="0.2">
      <c r="A549" s="167"/>
      <c r="B549" s="141">
        <v>4263</v>
      </c>
      <c r="C549" s="113" t="s">
        <v>485</v>
      </c>
      <c r="D549" s="110">
        <v>700000</v>
      </c>
      <c r="E549" s="119"/>
      <c r="F549" s="118"/>
      <c r="G549" s="97"/>
      <c r="H549" s="97"/>
      <c r="I549" s="97"/>
      <c r="J549" s="97"/>
      <c r="K549" s="97"/>
    </row>
    <row r="550" spans="1:89" ht="17" x14ac:dyDescent="0.2">
      <c r="B550" s="141">
        <v>4264</v>
      </c>
      <c r="C550" s="113" t="s">
        <v>139</v>
      </c>
      <c r="D550" s="110">
        <v>200000</v>
      </c>
      <c r="E550" s="119"/>
      <c r="F550" s="118"/>
      <c r="G550" s="97"/>
      <c r="H550" s="97"/>
      <c r="I550" s="97"/>
      <c r="J550" s="97"/>
      <c r="K550" s="97"/>
    </row>
    <row r="551" spans="1:89" ht="17" x14ac:dyDescent="0.2">
      <c r="B551" s="141">
        <v>4266</v>
      </c>
      <c r="C551" s="113" t="s">
        <v>140</v>
      </c>
      <c r="D551" s="110">
        <v>500000</v>
      </c>
      <c r="E551" s="119"/>
      <c r="F551" s="118"/>
      <c r="G551" s="97"/>
      <c r="H551" s="97"/>
      <c r="I551" s="97"/>
      <c r="J551" s="97"/>
      <c r="K551" s="97"/>
    </row>
    <row r="552" spans="1:89" ht="17" x14ac:dyDescent="0.2">
      <c r="B552" s="141"/>
      <c r="C552" s="121" t="s">
        <v>141</v>
      </c>
      <c r="D552" s="110"/>
      <c r="E552" s="119"/>
      <c r="F552" s="118"/>
      <c r="G552" s="97"/>
      <c r="H552" s="97"/>
      <c r="I552" s="97"/>
      <c r="J552" s="97"/>
      <c r="K552" s="97"/>
    </row>
    <row r="553" spans="1:89" ht="17" x14ac:dyDescent="0.2">
      <c r="B553" s="141">
        <v>4822</v>
      </c>
      <c r="C553" s="113" t="s">
        <v>142</v>
      </c>
      <c r="D553" s="110">
        <v>80000</v>
      </c>
      <c r="E553" s="110"/>
      <c r="F553" s="118"/>
      <c r="G553" s="97"/>
      <c r="H553" s="97"/>
      <c r="I553" s="97"/>
      <c r="J553" s="97"/>
      <c r="K553" s="97"/>
    </row>
    <row r="554" spans="1:89" ht="17" x14ac:dyDescent="0.2">
      <c r="B554" s="141"/>
      <c r="C554" s="121" t="s">
        <v>143</v>
      </c>
      <c r="D554" s="110"/>
      <c r="E554" s="110"/>
      <c r="F554" s="111"/>
      <c r="G554" s="97"/>
      <c r="H554" s="97"/>
      <c r="I554" s="97"/>
      <c r="J554" s="97"/>
      <c r="K554" s="97"/>
    </row>
    <row r="555" spans="1:89" s="9" customFormat="1" ht="17" x14ac:dyDescent="0.2">
      <c r="A555" s="165"/>
      <c r="B555" s="141">
        <v>5126</v>
      </c>
      <c r="C555" s="113" t="s">
        <v>144</v>
      </c>
      <c r="D555" s="110"/>
      <c r="E555" s="110"/>
      <c r="F555" s="111">
        <v>2000000</v>
      </c>
      <c r="G555" s="97"/>
      <c r="H555" s="97"/>
      <c r="I555" s="97"/>
      <c r="J555" s="97"/>
      <c r="K555" s="97"/>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5"/>
      <c r="BI555" s="5"/>
      <c r="BJ555" s="5"/>
      <c r="BK555" s="5"/>
      <c r="BL555" s="5"/>
      <c r="BM555" s="5"/>
      <c r="BN555" s="5"/>
      <c r="BO555" s="5"/>
      <c r="BP555" s="5"/>
      <c r="BQ555" s="5"/>
      <c r="BR555" s="5"/>
      <c r="BS555" s="5"/>
      <c r="BT555" s="5"/>
      <c r="BU555" s="5"/>
      <c r="BV555" s="5"/>
      <c r="BW555" s="5"/>
      <c r="BX555" s="5"/>
      <c r="BY555" s="5"/>
      <c r="BZ555" s="5"/>
      <c r="CA555" s="5"/>
      <c r="CB555" s="5"/>
      <c r="CC555" s="5"/>
      <c r="CD555" s="5"/>
      <c r="CE555" s="5"/>
      <c r="CF555" s="5"/>
      <c r="CG555" s="5"/>
      <c r="CH555" s="5"/>
      <c r="CI555" s="5"/>
      <c r="CJ555" s="5"/>
      <c r="CK555" s="5"/>
    </row>
    <row r="556" spans="1:89" s="20" customFormat="1" ht="17" x14ac:dyDescent="0.2">
      <c r="A556" s="167"/>
      <c r="B556" s="141"/>
      <c r="C556" s="113" t="s">
        <v>486</v>
      </c>
      <c r="D556" s="110"/>
      <c r="E556" s="110"/>
      <c r="F556" s="111">
        <v>0</v>
      </c>
      <c r="G556" s="136"/>
      <c r="H556" s="136"/>
      <c r="I556" s="136"/>
      <c r="J556" s="136"/>
      <c r="K556" s="136"/>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c r="BP556" s="5"/>
      <c r="BQ556" s="5"/>
      <c r="BR556" s="5"/>
      <c r="BS556" s="5"/>
      <c r="BT556" s="5"/>
      <c r="BU556" s="5"/>
      <c r="BV556" s="5"/>
      <c r="BW556" s="5"/>
      <c r="BX556" s="5"/>
      <c r="BY556" s="5"/>
      <c r="BZ556" s="5"/>
      <c r="CA556" s="5"/>
      <c r="CB556" s="5"/>
      <c r="CC556" s="5"/>
      <c r="CD556" s="5"/>
      <c r="CE556" s="5"/>
      <c r="CF556" s="5"/>
      <c r="CG556" s="5"/>
      <c r="CH556" s="5"/>
      <c r="CI556" s="5"/>
      <c r="CJ556" s="5"/>
      <c r="CK556" s="5"/>
    </row>
    <row r="557" spans="1:89" ht="17" x14ac:dyDescent="0.2">
      <c r="A557" s="167"/>
      <c r="B557" s="141">
        <v>5113</v>
      </c>
      <c r="C557" s="121" t="s">
        <v>490</v>
      </c>
      <c r="D557" s="110"/>
      <c r="E557" s="110"/>
      <c r="F557" s="111">
        <v>12000000</v>
      </c>
      <c r="G557" s="97"/>
      <c r="H557" s="97"/>
      <c r="I557" s="97"/>
      <c r="J557" s="97"/>
      <c r="K557" s="97"/>
    </row>
    <row r="558" spans="1:89" x14ac:dyDescent="0.2">
      <c r="B558" s="130"/>
      <c r="C558" s="122"/>
      <c r="D558" s="123"/>
      <c r="E558" s="123"/>
      <c r="F558" s="124"/>
      <c r="G558" s="97"/>
      <c r="H558" s="97"/>
      <c r="I558" s="97"/>
      <c r="J558" s="97"/>
      <c r="K558" s="97"/>
    </row>
    <row r="559" spans="1:89" ht="17" x14ac:dyDescent="0.2">
      <c r="B559" s="39"/>
      <c r="C559" s="125" t="s">
        <v>152</v>
      </c>
      <c r="D559" s="126">
        <f>SUM(D508:D557)</f>
        <v>54853000</v>
      </c>
      <c r="E559" s="126"/>
      <c r="F559" s="126">
        <f>SUM(F508:F558)</f>
        <v>14000000</v>
      </c>
      <c r="G559" s="97"/>
      <c r="H559" s="97"/>
      <c r="I559" s="97"/>
      <c r="J559" s="97"/>
      <c r="K559" s="97"/>
    </row>
    <row r="560" spans="1:89" ht="17" x14ac:dyDescent="0.2">
      <c r="B560" s="39"/>
      <c r="C560" s="127"/>
      <c r="D560" s="128"/>
      <c r="E560" s="25"/>
      <c r="F560" s="128"/>
      <c r="G560" s="97"/>
      <c r="H560" s="97"/>
      <c r="I560" s="97"/>
      <c r="J560" s="97"/>
      <c r="K560" s="97"/>
    </row>
    <row r="561" spans="1:89" x14ac:dyDescent="0.2">
      <c r="B561" s="39"/>
      <c r="C561" s="23" t="s">
        <v>587</v>
      </c>
      <c r="D561" s="24"/>
      <c r="E561" s="1"/>
      <c r="F561" s="21"/>
      <c r="G561" s="97"/>
      <c r="H561" s="97"/>
      <c r="I561" s="97"/>
      <c r="J561" s="97"/>
      <c r="K561" s="97"/>
    </row>
    <row r="562" spans="1:89" x14ac:dyDescent="0.2">
      <c r="B562" s="39"/>
      <c r="C562" s="26"/>
      <c r="D562" s="24"/>
      <c r="E562" s="25"/>
      <c r="F562" s="21"/>
      <c r="G562" s="97"/>
      <c r="H562" s="97"/>
      <c r="I562" s="97"/>
      <c r="J562" s="97"/>
      <c r="K562" s="97"/>
    </row>
    <row r="563" spans="1:89" x14ac:dyDescent="0.2">
      <c r="B563" s="39"/>
      <c r="C563" s="29" t="s">
        <v>145</v>
      </c>
      <c r="D563" s="30">
        <f>F42</f>
        <v>963500000</v>
      </c>
      <c r="E563" s="43"/>
      <c r="F563" s="21"/>
      <c r="G563" s="97"/>
      <c r="H563" s="97"/>
      <c r="I563" s="97"/>
      <c r="J563" s="97"/>
      <c r="K563" s="97"/>
    </row>
    <row r="564" spans="1:89" s="18" customFormat="1" x14ac:dyDescent="0.2">
      <c r="A564" s="165"/>
      <c r="B564" s="39"/>
      <c r="C564" s="29" t="s">
        <v>150</v>
      </c>
      <c r="D564" s="30">
        <f>F215</f>
        <v>45978400</v>
      </c>
      <c r="E564" s="43"/>
      <c r="F564" s="21"/>
      <c r="G564" s="97"/>
      <c r="H564" s="97"/>
      <c r="I564" s="97"/>
      <c r="J564" s="97"/>
      <c r="K564" s="97"/>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5"/>
      <c r="BH564" s="5"/>
      <c r="BI564" s="5"/>
      <c r="BJ564" s="5"/>
      <c r="BK564" s="5"/>
      <c r="BL564" s="5"/>
      <c r="BM564" s="5"/>
      <c r="BN564" s="5"/>
      <c r="BO564" s="5"/>
      <c r="BP564" s="5"/>
      <c r="BQ564" s="5"/>
      <c r="BR564" s="5"/>
      <c r="BS564" s="5"/>
      <c r="BT564" s="5"/>
      <c r="BU564" s="5"/>
      <c r="BV564" s="5"/>
      <c r="BW564" s="5"/>
      <c r="BX564" s="5"/>
      <c r="BY564" s="5"/>
      <c r="BZ564" s="5"/>
      <c r="CA564" s="5"/>
      <c r="CB564" s="5"/>
      <c r="CC564" s="5"/>
      <c r="CD564" s="5"/>
      <c r="CE564" s="5"/>
      <c r="CF564" s="5"/>
      <c r="CG564" s="5"/>
      <c r="CH564" s="5"/>
      <c r="CI564" s="5"/>
      <c r="CJ564" s="5"/>
      <c r="CK564" s="5"/>
    </row>
    <row r="565" spans="1:89" x14ac:dyDescent="0.2">
      <c r="B565" s="39"/>
      <c r="C565" s="29" t="s">
        <v>387</v>
      </c>
      <c r="D565" s="30">
        <f>SUM(F331)</f>
        <v>26728800</v>
      </c>
      <c r="E565" s="43"/>
      <c r="F565" s="21"/>
      <c r="G565" s="97"/>
      <c r="H565" s="97"/>
      <c r="I565" s="97"/>
      <c r="J565" s="97"/>
      <c r="K565" s="97"/>
    </row>
    <row r="566" spans="1:89" x14ac:dyDescent="0.2">
      <c r="B566" s="39"/>
      <c r="C566" s="29" t="s">
        <v>154</v>
      </c>
      <c r="D566" s="30">
        <f>F399</f>
        <v>3340800</v>
      </c>
      <c r="E566" s="43"/>
      <c r="F566" s="21"/>
      <c r="G566" s="97"/>
      <c r="H566" s="97"/>
      <c r="I566" s="97"/>
      <c r="J566" s="97"/>
      <c r="K566" s="97"/>
    </row>
    <row r="567" spans="1:89" x14ac:dyDescent="0.2">
      <c r="B567" s="39"/>
      <c r="C567" s="29" t="s">
        <v>146</v>
      </c>
      <c r="D567" s="30">
        <f>F501</f>
        <v>9411000</v>
      </c>
      <c r="E567" s="43"/>
      <c r="F567" s="21"/>
      <c r="G567" s="97"/>
      <c r="H567" s="97"/>
      <c r="I567" s="97"/>
      <c r="J567" s="97"/>
      <c r="K567" s="97"/>
    </row>
    <row r="568" spans="1:89" x14ac:dyDescent="0.2">
      <c r="B568" s="39"/>
      <c r="C568" s="29" t="s">
        <v>147</v>
      </c>
      <c r="D568" s="30">
        <f>D559</f>
        <v>54853000</v>
      </c>
      <c r="E568" s="43"/>
      <c r="F568" s="21"/>
      <c r="G568" s="97"/>
      <c r="H568" s="97"/>
      <c r="I568" s="97"/>
      <c r="J568" s="97"/>
      <c r="K568" s="97"/>
    </row>
    <row r="569" spans="1:89" x14ac:dyDescent="0.2">
      <c r="B569" s="39"/>
      <c r="C569" s="29" t="s">
        <v>148</v>
      </c>
      <c r="D569" s="30">
        <f>SUM(F559)</f>
        <v>14000000</v>
      </c>
      <c r="E569" s="43"/>
      <c r="F569" s="21"/>
      <c r="G569" s="97"/>
      <c r="H569" s="97"/>
      <c r="I569" s="97"/>
      <c r="J569" s="97"/>
      <c r="K569" s="97"/>
    </row>
    <row r="570" spans="1:89" x14ac:dyDescent="0.2">
      <c r="B570" s="130"/>
      <c r="C570" s="32"/>
      <c r="D570" s="33"/>
      <c r="E570" s="34"/>
      <c r="F570" s="34"/>
      <c r="G570" s="97"/>
      <c r="H570" s="97"/>
      <c r="I570" s="97"/>
      <c r="J570" s="97"/>
      <c r="K570" s="97"/>
    </row>
    <row r="571" spans="1:89" s="20" customFormat="1" x14ac:dyDescent="0.2">
      <c r="A571" s="165"/>
      <c r="B571" s="98"/>
      <c r="C571" s="191" t="s">
        <v>585</v>
      </c>
      <c r="D571" s="30">
        <v>54853000</v>
      </c>
      <c r="E571" s="43"/>
      <c r="F571" s="43"/>
      <c r="G571" s="188"/>
      <c r="H571" s="188"/>
      <c r="I571" s="188"/>
      <c r="J571" s="188"/>
      <c r="K571" s="188"/>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c r="BP571" s="5"/>
      <c r="BQ571" s="5"/>
      <c r="BR571" s="5"/>
      <c r="BS571" s="5"/>
      <c r="BT571" s="5"/>
      <c r="BU571" s="5"/>
      <c r="BV571" s="5"/>
      <c r="BW571" s="5"/>
      <c r="BX571" s="5"/>
      <c r="BY571" s="5"/>
      <c r="BZ571" s="5"/>
      <c r="CA571" s="5"/>
      <c r="CB571" s="5"/>
      <c r="CC571" s="5"/>
      <c r="CD571" s="5"/>
      <c r="CE571" s="5"/>
      <c r="CF571" s="5"/>
      <c r="CG571" s="5"/>
      <c r="CH571" s="5"/>
      <c r="CI571" s="5"/>
      <c r="CJ571" s="5"/>
      <c r="CK571" s="5"/>
    </row>
    <row r="572" spans="1:89" s="20" customFormat="1" x14ac:dyDescent="0.2">
      <c r="A572" s="190"/>
      <c r="B572" s="98"/>
      <c r="C572" s="191" t="s">
        <v>586</v>
      </c>
      <c r="D572" s="30">
        <v>1062959000</v>
      </c>
      <c r="E572" s="43"/>
      <c r="F572" s="43"/>
      <c r="G572" s="188"/>
      <c r="H572" s="188"/>
      <c r="I572" s="188"/>
      <c r="J572" s="188"/>
      <c r="K572" s="188"/>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c r="BP572" s="5"/>
      <c r="BQ572" s="5"/>
      <c r="BR572" s="5"/>
      <c r="BS572" s="5"/>
      <c r="BT572" s="5"/>
      <c r="BU572" s="5"/>
      <c r="BV572" s="5"/>
      <c r="BW572" s="5"/>
      <c r="BX572" s="5"/>
      <c r="BY572" s="5"/>
      <c r="BZ572" s="5"/>
      <c r="CA572" s="5"/>
      <c r="CB572" s="5"/>
      <c r="CC572" s="5"/>
      <c r="CD572" s="5"/>
      <c r="CE572" s="5"/>
      <c r="CF572" s="5"/>
      <c r="CG572" s="5"/>
      <c r="CH572" s="5"/>
      <c r="CI572" s="5"/>
      <c r="CJ572" s="5"/>
      <c r="CK572" s="5"/>
    </row>
    <row r="573" spans="1:89" ht="18" x14ac:dyDescent="0.2">
      <c r="B573" s="39"/>
      <c r="C573" s="35" t="s">
        <v>163</v>
      </c>
      <c r="D573" s="36">
        <f>SUM(D563:D569)</f>
        <v>1117812000</v>
      </c>
      <c r="E573" s="30" t="s">
        <v>164</v>
      </c>
      <c r="F573" s="38"/>
      <c r="G573" s="97"/>
      <c r="H573" s="97"/>
      <c r="I573" s="97"/>
      <c r="J573" s="97"/>
      <c r="K573" s="97"/>
    </row>
    <row r="574" spans="1:89" x14ac:dyDescent="0.2">
      <c r="B574" s="39"/>
      <c r="C574" s="97"/>
      <c r="D574" s="40"/>
      <c r="E574" s="21"/>
      <c r="F574" s="21"/>
      <c r="G574" s="97"/>
      <c r="H574" s="97"/>
      <c r="I574" s="97"/>
      <c r="J574" s="97"/>
      <c r="K574" s="97"/>
    </row>
    <row r="575" spans="1:89" x14ac:dyDescent="0.2">
      <c r="B575" s="39"/>
      <c r="C575" s="97"/>
      <c r="D575" s="40"/>
      <c r="E575" s="21"/>
      <c r="F575" s="21"/>
      <c r="G575" s="97"/>
      <c r="H575" s="97"/>
      <c r="I575" s="97"/>
      <c r="J575" s="97"/>
      <c r="K575" s="97"/>
    </row>
    <row r="576" spans="1:89" x14ac:dyDescent="0.2">
      <c r="B576" s="39"/>
      <c r="C576" s="97"/>
      <c r="D576" s="40"/>
      <c r="E576" s="21"/>
      <c r="F576" s="21"/>
      <c r="G576" s="97"/>
      <c r="H576" s="97"/>
      <c r="I576" s="97"/>
      <c r="J576" s="97"/>
      <c r="K576" s="97"/>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row>
    <row r="577" spans="2:89" ht="17" x14ac:dyDescent="0.2">
      <c r="B577" s="39"/>
      <c r="C577" s="97"/>
      <c r="D577" s="129" t="s">
        <v>162</v>
      </c>
      <c r="E577" s="21"/>
      <c r="F577" s="21"/>
      <c r="G577" s="97"/>
      <c r="H577" s="97"/>
      <c r="I577" s="97"/>
      <c r="J577" s="97"/>
      <c r="K577" s="97"/>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row>
    <row r="578" spans="2:89" ht="28.5" customHeight="1" x14ac:dyDescent="0.2">
      <c r="B578" s="39"/>
      <c r="C578" s="97"/>
      <c r="D578" s="129"/>
      <c r="E578" s="21"/>
      <c r="F578" s="21"/>
      <c r="G578" s="97"/>
      <c r="H578" s="97"/>
      <c r="I578" s="97"/>
      <c r="J578" s="97"/>
      <c r="K578" s="97"/>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row>
    <row r="579" spans="2:89" ht="17" x14ac:dyDescent="0.2">
      <c r="B579" s="39"/>
      <c r="C579" s="97"/>
      <c r="D579" s="129" t="s">
        <v>266</v>
      </c>
      <c r="E579" s="21"/>
      <c r="F579" s="21"/>
    </row>
  </sheetData>
  <mergeCells count="65">
    <mergeCell ref="C503:F503"/>
    <mergeCell ref="C500:F500"/>
    <mergeCell ref="C320:F320"/>
    <mergeCell ref="C315:F315"/>
    <mergeCell ref="C401:F401"/>
    <mergeCell ref="C333:D333"/>
    <mergeCell ref="C334:F334"/>
    <mergeCell ref="C380:F380"/>
    <mergeCell ref="C387:F387"/>
    <mergeCell ref="C400:D400"/>
    <mergeCell ref="C220:F220"/>
    <mergeCell ref="C393:F393"/>
    <mergeCell ref="C336:F336"/>
    <mergeCell ref="C342:F342"/>
    <mergeCell ref="C349:F349"/>
    <mergeCell ref="C365:F365"/>
    <mergeCell ref="C373:F373"/>
    <mergeCell ref="C392:D392"/>
    <mergeCell ref="C325:F325"/>
    <mergeCell ref="C357:F357"/>
    <mergeCell ref="C304:K304"/>
    <mergeCell ref="C225:F225"/>
    <mergeCell ref="C308:D308"/>
    <mergeCell ref="C309:F309"/>
    <mergeCell ref="C237:F237"/>
    <mergeCell ref="C239:F239"/>
    <mergeCell ref="C1:E1"/>
    <mergeCell ref="C3:E3"/>
    <mergeCell ref="C17:F17"/>
    <mergeCell ref="C180:D180"/>
    <mergeCell ref="C181:F181"/>
    <mergeCell ref="C62:D62"/>
    <mergeCell ref="C64:D64"/>
    <mergeCell ref="C107:F107"/>
    <mergeCell ref="C139:D139"/>
    <mergeCell ref="C149:F149"/>
    <mergeCell ref="C140:F140"/>
    <mergeCell ref="C126:F126"/>
    <mergeCell ref="C71:D71"/>
    <mergeCell ref="C46:F46"/>
    <mergeCell ref="C172:K172"/>
    <mergeCell ref="C50:D50"/>
    <mergeCell ref="C249:F249"/>
    <mergeCell ref="C251:F251"/>
    <mergeCell ref="C299:F299"/>
    <mergeCell ref="C263:F263"/>
    <mergeCell ref="C270:F270"/>
    <mergeCell ref="C275:F275"/>
    <mergeCell ref="C283:F283"/>
    <mergeCell ref="C293:F293"/>
    <mergeCell ref="C286:F286"/>
    <mergeCell ref="C288:F288"/>
    <mergeCell ref="C291:F291"/>
    <mergeCell ref="C297:F297"/>
    <mergeCell ref="C51:F51"/>
    <mergeCell ref="C61:F61"/>
    <mergeCell ref="C164:F164"/>
    <mergeCell ref="C80:F80"/>
    <mergeCell ref="C189:F189"/>
    <mergeCell ref="C194:F194"/>
    <mergeCell ref="C208:F208"/>
    <mergeCell ref="C158:F158"/>
    <mergeCell ref="C210:F210"/>
    <mergeCell ref="C201:F201"/>
    <mergeCell ref="C203:F203"/>
  </mergeCells>
  <phoneticPr fontId="3" type="noConversion"/>
  <pageMargins left="0.45" right="0" top="0.75" bottom="0.75" header="0.3" footer="0.3"/>
  <pageSetup paperSize="9" scale="70" orientation="landscape" copies="3" r:id="rId1"/>
  <rowBreaks count="16" manualBreakCount="16">
    <brk id="36" max="9" man="1"/>
    <brk id="59" max="9" man="1"/>
    <brk id="97" max="9" man="1"/>
    <brk id="135" max="9" man="1"/>
    <brk id="161" max="9" man="1"/>
    <brk id="191" max="9" man="1"/>
    <brk id="222" max="9" man="1"/>
    <brk id="249" max="9" man="1"/>
    <brk id="273" max="9" man="1"/>
    <brk id="301" max="9" man="1"/>
    <brk id="328" max="9" man="1"/>
    <brk id="352" max="9" man="1"/>
    <brk id="391" max="9" man="1"/>
    <brk id="431" max="9" man="1"/>
    <brk id="473" max="9" man="1"/>
    <brk id="502" max="9"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фЦС ПЛАН 2021.</vt:lpstr>
      <vt:lpstr>'фЦС ПЛАН 2021.'!Print_Area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Snezana Marić</dc:creator>
  <cp:lastModifiedBy>Microsoft Office User</cp:lastModifiedBy>
  <cp:lastPrinted>2021-01-25T12:52:42Z</cp:lastPrinted>
  <dcterms:created xsi:type="dcterms:W3CDTF">2015-01-09T09:45:15Z</dcterms:created>
  <dcterms:modified xsi:type="dcterms:W3CDTF">2021-01-27T10:48:21Z</dcterms:modified>
</cp:coreProperties>
</file>